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4_2.bin" ContentType="application/vnd.openxmlformats-officedocument.oleObject"/>
  <Override PartName="/xl/embeddings/oleObject_1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670" activeTab="1"/>
  </bookViews>
  <sheets>
    <sheet name="Table 7.1 Tahoe Salt" sheetId="1" r:id="rId1"/>
    <sheet name="Figure7.2" sheetId="2" r:id="rId2"/>
    <sheet name="Regression 7.2" sheetId="3" r:id="rId3"/>
    <sheet name="Figure7.4" sheetId="4" r:id="rId4"/>
    <sheet name="Ex.7-1" sheetId="5" r:id="rId5"/>
    <sheet name="Ex.7-2" sheetId="6" r:id="rId6"/>
    <sheet name="Ex.7-3" sheetId="7" r:id="rId7"/>
    <sheet name="Regression 7-3" sheetId="8" r:id="rId8"/>
    <sheet name="Ex.7-4" sheetId="9" r:id="rId9"/>
    <sheet name="Figure7.5 Moving Average" sheetId="10" r:id="rId10"/>
    <sheet name="Figure7.6 Smoothing" sheetId="11" r:id="rId11"/>
    <sheet name="Figure7.7 Holt's" sheetId="12" r:id="rId12"/>
    <sheet name="Regression 7.7" sheetId="13" r:id="rId13"/>
    <sheet name="Figure7.8 Winter" sheetId="14" r:id="rId14"/>
    <sheet name="deseasonalized" sheetId="15" r:id="rId15"/>
    <sheet name="Regression" sheetId="16" r:id="rId16"/>
    <sheet name="Error Summary" sheetId="17" r:id="rId17"/>
    <sheet name="工作表2" sheetId="18" r:id="rId18"/>
  </sheets>
  <definedNames>
    <definedName name="_xlnm.Print_Area" localSheetId="14">'deseasonalized'!$A$1:$F$29</definedName>
    <definedName name="_xlnm.Print_Area" localSheetId="6">'Ex.7-3'!$A$1:$F$31</definedName>
    <definedName name="_xlnm.Print_Area" localSheetId="8">'Ex.7-4'!$A$1:$G$35</definedName>
    <definedName name="_xlnm.Print_Area" localSheetId="3">'Figure7.4'!$A$1:$F$24</definedName>
    <definedName name="_xlnm.Print_Area" localSheetId="11">'Figure7.7 Holt''s'!$A$1:$L$35</definedName>
    <definedName name="_xlnm.Print_Area" localSheetId="13">'Figure7.8 Winter'!$A$1:$N$35</definedName>
    <definedName name="_xlnm.Print_Area" localSheetId="12">'Regression 7.7'!$A$1:$I$30</definedName>
    <definedName name="solver_adj" localSheetId="5" hidden="1">'Ex.7-2'!$B$17</definedName>
    <definedName name="solver_adj" localSheetId="6" hidden="1">'Ex.7-3'!$B$17:$B$18</definedName>
    <definedName name="solver_adj" localSheetId="8" hidden="1">'Ex.7-4'!$B$21:$B$23</definedName>
    <definedName name="solver_adj" localSheetId="10" hidden="1">'Figure7.6 Smoothing'!$B$21</definedName>
    <definedName name="solver_adj" localSheetId="11" hidden="1">'Figure7.7 Holt''s'!$B$21:$B$22</definedName>
    <definedName name="solver_adj" localSheetId="13" hidden="1">'Figure7.8 Winter'!$B$21:$B$23</definedName>
    <definedName name="solver_cvg" localSheetId="5" hidden="1">0.0001</definedName>
    <definedName name="solver_cvg" localSheetId="6" hidden="1">0.0001</definedName>
    <definedName name="solver_cvg" localSheetId="8" hidden="1">0.0001</definedName>
    <definedName name="solver_cvg" localSheetId="10" hidden="1">0.0001</definedName>
    <definedName name="solver_cvg" localSheetId="11" hidden="1">0.0001</definedName>
    <definedName name="solver_cvg" localSheetId="13" hidden="1">0.0001</definedName>
    <definedName name="solver_drv" localSheetId="5" hidden="1">1</definedName>
    <definedName name="solver_drv" localSheetId="6" hidden="1">1</definedName>
    <definedName name="solver_drv" localSheetId="8" hidden="1">1</definedName>
    <definedName name="solver_drv" localSheetId="10" hidden="1">1</definedName>
    <definedName name="solver_drv" localSheetId="11" hidden="1">1</definedName>
    <definedName name="solver_drv" localSheetId="13" hidden="1">1</definedName>
    <definedName name="solver_est" localSheetId="5" hidden="1">1</definedName>
    <definedName name="solver_est" localSheetId="6" hidden="1">1</definedName>
    <definedName name="solver_est" localSheetId="8" hidden="1">1</definedName>
    <definedName name="solver_est" localSheetId="10" hidden="1">1</definedName>
    <definedName name="solver_est" localSheetId="11" hidden="1">1</definedName>
    <definedName name="solver_est" localSheetId="13" hidden="1">1</definedName>
    <definedName name="solver_itr" localSheetId="5" hidden="1">100</definedName>
    <definedName name="solver_itr" localSheetId="6" hidden="1">100</definedName>
    <definedName name="solver_itr" localSheetId="8" hidden="1">100</definedName>
    <definedName name="solver_itr" localSheetId="10" hidden="1">100</definedName>
    <definedName name="solver_itr" localSheetId="11" hidden="1">100</definedName>
    <definedName name="solver_itr" localSheetId="13" hidden="1">100</definedName>
    <definedName name="solver_lhs1" localSheetId="5" hidden="1">'Ex.7-2'!$B$17</definedName>
    <definedName name="solver_lhs1" localSheetId="6" hidden="1">'Ex.7-3'!$B$17:$B$18</definedName>
    <definedName name="solver_lhs1" localSheetId="8" hidden="1">'Ex.7-4'!$B$21:$B$23</definedName>
    <definedName name="solver_lhs1" localSheetId="10" hidden="1">'Figure7.6 Smoothing'!$B$21</definedName>
    <definedName name="solver_lhs1" localSheetId="11" hidden="1">'Figure7.7 Holt''s'!$B$21:$B$22</definedName>
    <definedName name="solver_lhs1" localSheetId="13" hidden="1">'Figure7.8 Winter'!$B$21:$B$23</definedName>
    <definedName name="solver_lin" localSheetId="5" hidden="1">2</definedName>
    <definedName name="solver_lin" localSheetId="6" hidden="1">2</definedName>
    <definedName name="solver_lin" localSheetId="8" hidden="1">2</definedName>
    <definedName name="solver_lin" localSheetId="10" hidden="1">2</definedName>
    <definedName name="solver_lin" localSheetId="11" hidden="1">2</definedName>
    <definedName name="solver_lin" localSheetId="13" hidden="1">2</definedName>
    <definedName name="solver_neg" localSheetId="5" hidden="1">1</definedName>
    <definedName name="solver_neg" localSheetId="6" hidden="1">1</definedName>
    <definedName name="solver_neg" localSheetId="8" hidden="1">1</definedName>
    <definedName name="solver_neg" localSheetId="10" hidden="1">1</definedName>
    <definedName name="solver_neg" localSheetId="11" hidden="1">1</definedName>
    <definedName name="solver_neg" localSheetId="13" hidden="1">1</definedName>
    <definedName name="solver_num" localSheetId="5" hidden="1">1</definedName>
    <definedName name="solver_num" localSheetId="6" hidden="1">1</definedName>
    <definedName name="solver_num" localSheetId="8" hidden="1">1</definedName>
    <definedName name="solver_num" localSheetId="10" hidden="1">1</definedName>
    <definedName name="solver_num" localSheetId="11" hidden="1">1</definedName>
    <definedName name="solver_num" localSheetId="13" hidden="1">1</definedName>
    <definedName name="solver_nwt" localSheetId="5" hidden="1">1</definedName>
    <definedName name="solver_nwt" localSheetId="6" hidden="1">1</definedName>
    <definedName name="solver_nwt" localSheetId="8" hidden="1">1</definedName>
    <definedName name="solver_nwt" localSheetId="10" hidden="1">1</definedName>
    <definedName name="solver_nwt" localSheetId="11" hidden="1">1</definedName>
    <definedName name="solver_nwt" localSheetId="13" hidden="1">1</definedName>
    <definedName name="solver_opt" localSheetId="5" hidden="1">'Ex.7-2'!#REF!</definedName>
    <definedName name="solver_opt" localSheetId="6" hidden="1">'Ex.7-3'!#REF!</definedName>
    <definedName name="solver_opt" localSheetId="8" hidden="1">'Ex.7-4'!#REF!</definedName>
    <definedName name="solver_opt" localSheetId="10" hidden="1">'Figure7.6 Smoothing'!$H$15</definedName>
    <definedName name="solver_opt" localSheetId="11" hidden="1">'Figure7.7 Holt''s'!$I$15</definedName>
    <definedName name="solver_opt" localSheetId="13" hidden="1">'Figure7.8 Winter'!$J$15</definedName>
    <definedName name="solver_pre" localSheetId="5" hidden="1">0.000001</definedName>
    <definedName name="solver_pre" localSheetId="6" hidden="1">0.000001</definedName>
    <definedName name="solver_pre" localSheetId="8" hidden="1">0.000001</definedName>
    <definedName name="solver_pre" localSheetId="10" hidden="1">0.000001</definedName>
    <definedName name="solver_pre" localSheetId="11" hidden="1">0.000001</definedName>
    <definedName name="solver_pre" localSheetId="13" hidden="1">0.000001</definedName>
    <definedName name="solver_rel1" localSheetId="5" hidden="1">1</definedName>
    <definedName name="solver_rel1" localSheetId="6" hidden="1">1</definedName>
    <definedName name="solver_rel1" localSheetId="8" hidden="1">1</definedName>
    <definedName name="solver_rel1" localSheetId="10" hidden="1">1</definedName>
    <definedName name="solver_rel1" localSheetId="11" hidden="1">1</definedName>
    <definedName name="solver_rel1" localSheetId="13" hidden="1">1</definedName>
    <definedName name="solver_rhs1" localSheetId="5" hidden="1">1</definedName>
    <definedName name="solver_rhs1" localSheetId="6" hidden="1">1</definedName>
    <definedName name="solver_rhs1" localSheetId="8" hidden="1">1</definedName>
    <definedName name="solver_rhs1" localSheetId="10" hidden="1">1</definedName>
    <definedName name="solver_rhs1" localSheetId="11" hidden="1">1</definedName>
    <definedName name="solver_rhs1" localSheetId="13" hidden="1">1</definedName>
    <definedName name="solver_scl" localSheetId="5" hidden="1">2</definedName>
    <definedName name="solver_scl" localSheetId="6" hidden="1">2</definedName>
    <definedName name="solver_scl" localSheetId="8" hidden="1">2</definedName>
    <definedName name="solver_scl" localSheetId="10" hidden="1">2</definedName>
    <definedName name="solver_scl" localSheetId="11" hidden="1">2</definedName>
    <definedName name="solver_scl" localSheetId="13" hidden="1">2</definedName>
    <definedName name="solver_sho" localSheetId="5" hidden="1">2</definedName>
    <definedName name="solver_sho" localSheetId="6" hidden="1">2</definedName>
    <definedName name="solver_sho" localSheetId="8" hidden="1">2</definedName>
    <definedName name="solver_sho" localSheetId="10" hidden="1">2</definedName>
    <definedName name="solver_sho" localSheetId="11" hidden="1">2</definedName>
    <definedName name="solver_sho" localSheetId="13" hidden="1">2</definedName>
    <definedName name="solver_tim" localSheetId="5" hidden="1">100</definedName>
    <definedName name="solver_tim" localSheetId="6" hidden="1">100</definedName>
    <definedName name="solver_tim" localSheetId="8" hidden="1">100</definedName>
    <definedName name="solver_tim" localSheetId="10" hidden="1">100</definedName>
    <definedName name="solver_tim" localSheetId="11" hidden="1">100</definedName>
    <definedName name="solver_tim" localSheetId="13" hidden="1">100</definedName>
    <definedName name="solver_tol" localSheetId="5" hidden="1">0.05</definedName>
    <definedName name="solver_tol" localSheetId="6" hidden="1">0.05</definedName>
    <definedName name="solver_tol" localSheetId="8" hidden="1">0.05</definedName>
    <definedName name="solver_tol" localSheetId="10" hidden="1">0.05</definedName>
    <definedName name="solver_tol" localSheetId="11" hidden="1">0.05</definedName>
    <definedName name="solver_tol" localSheetId="13" hidden="1">0.05</definedName>
    <definedName name="solver_typ" localSheetId="5" hidden="1">2</definedName>
    <definedName name="solver_typ" localSheetId="6" hidden="1">2</definedName>
    <definedName name="solver_typ" localSheetId="8" hidden="1">2</definedName>
    <definedName name="solver_typ" localSheetId="10" hidden="1">2</definedName>
    <definedName name="solver_typ" localSheetId="11" hidden="1">2</definedName>
    <definedName name="solver_typ" localSheetId="13" hidden="1">2</definedName>
    <definedName name="solver_val" localSheetId="5" hidden="1">0</definedName>
    <definedName name="solver_val" localSheetId="6" hidden="1">0</definedName>
    <definedName name="solver_val" localSheetId="8" hidden="1">0</definedName>
    <definedName name="solver_val" localSheetId="10" hidden="1">0</definedName>
    <definedName name="solver_val" localSheetId="11" hidden="1">0</definedName>
    <definedName name="solver_val" localSheetId="13" hidden="1">0</definedName>
  </definedNames>
  <calcPr fullCalcOnLoad="1"/>
</workbook>
</file>

<file path=xl/sharedStrings.xml><?xml version="1.0" encoding="utf-8"?>
<sst xmlns="http://schemas.openxmlformats.org/spreadsheetml/2006/main" count="285" uniqueCount="151">
  <si>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</si>
  <si>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</si>
  <si>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</si>
  <si>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</si>
  <si>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</si>
  <si>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</si>
  <si>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</si>
  <si>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</si>
  <si>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</si>
  <si>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</si>
  <si>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</si>
  <si>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</si>
  <si>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</si>
  <si>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</si>
  <si>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</si>
  <si>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</si>
  <si>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</si>
  <si>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</si>
  <si>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</si>
  <si>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</si>
  <si>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</si>
  <si>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</si>
  <si>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</si>
  <si>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</si>
  <si>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r>
      <t xml:space="preserve">Period </t>
    </r>
    <r>
      <rPr>
        <i/>
        <sz val="10"/>
        <rFont val="Arial"/>
        <family val="2"/>
      </rPr>
      <t>t</t>
    </r>
  </si>
  <si>
    <t>alpha</t>
  </si>
  <si>
    <t>Beta</t>
  </si>
  <si>
    <t>Gamma</t>
  </si>
  <si>
    <t>% Error</t>
  </si>
  <si>
    <r>
      <t>Demand D</t>
    </r>
    <r>
      <rPr>
        <vertAlign val="subscript"/>
        <sz val="10"/>
        <rFont val="Arial"/>
        <family val="2"/>
      </rPr>
      <t>t</t>
    </r>
  </si>
  <si>
    <t xml:space="preserve">Deseasonalized Demand </t>
  </si>
  <si>
    <r>
      <t>Level L</t>
    </r>
    <r>
      <rPr>
        <vertAlign val="subscript"/>
        <sz val="10"/>
        <rFont val="Arial"/>
        <family val="2"/>
      </rPr>
      <t>t</t>
    </r>
  </si>
  <si>
    <r>
      <t>Forecast F</t>
    </r>
    <r>
      <rPr>
        <vertAlign val="subscript"/>
        <sz val="10"/>
        <rFont val="Arial"/>
        <family val="2"/>
      </rPr>
      <t>t</t>
    </r>
  </si>
  <si>
    <r>
      <t>Error E</t>
    </r>
    <r>
      <rPr>
        <vertAlign val="subscript"/>
        <sz val="10"/>
        <rFont val="Arial"/>
        <family val="2"/>
      </rPr>
      <t>t</t>
    </r>
  </si>
  <si>
    <r>
      <t>Absolute Error A</t>
    </r>
    <r>
      <rPr>
        <vertAlign val="subscript"/>
        <sz val="10"/>
        <rFont val="Arial"/>
        <family val="2"/>
      </rPr>
      <t>t</t>
    </r>
  </si>
  <si>
    <r>
      <t>Mean Squared Error MSE</t>
    </r>
    <r>
      <rPr>
        <vertAlign val="subscript"/>
        <sz val="10"/>
        <rFont val="Arial"/>
        <family val="2"/>
      </rPr>
      <t>t</t>
    </r>
  </si>
  <si>
    <r>
      <t>MAD</t>
    </r>
    <r>
      <rPr>
        <vertAlign val="subscript"/>
        <sz val="10"/>
        <rFont val="Arial"/>
        <family val="2"/>
      </rPr>
      <t>t</t>
    </r>
  </si>
  <si>
    <r>
      <t>MAPE</t>
    </r>
    <r>
      <rPr>
        <vertAlign val="subscript"/>
        <sz val="10"/>
        <rFont val="Arial"/>
        <family val="2"/>
      </rPr>
      <t>t</t>
    </r>
  </si>
  <si>
    <r>
      <t>TS</t>
    </r>
    <r>
      <rPr>
        <vertAlign val="subscript"/>
        <sz val="10"/>
        <rFont val="Arial"/>
        <family val="2"/>
      </rPr>
      <t>t</t>
    </r>
  </si>
  <si>
    <r>
      <t>Trend T</t>
    </r>
    <r>
      <rPr>
        <vertAlign val="subscript"/>
        <sz val="10"/>
        <rFont val="Arial"/>
        <family val="2"/>
      </rPr>
      <t>t</t>
    </r>
  </si>
  <si>
    <r>
      <t>Seasonal Factor S</t>
    </r>
    <r>
      <rPr>
        <vertAlign val="subscript"/>
        <sz val="10"/>
        <rFont val="Arial"/>
        <family val="2"/>
      </rPr>
      <t>t</t>
    </r>
  </si>
  <si>
    <t>Year, Qtr</t>
  </si>
  <si>
    <t>D =</t>
  </si>
  <si>
    <t>Demand</t>
  </si>
  <si>
    <t>periodicity</t>
  </si>
  <si>
    <t>where:</t>
  </si>
  <si>
    <t>p =</t>
  </si>
  <si>
    <t>t =</t>
  </si>
  <si>
    <t>period</t>
  </si>
  <si>
    <t>REGRESSION SUMMARY OUTPUT</t>
  </si>
  <si>
    <r>
      <t xml:space="preserve">Demand
</t>
    </r>
    <r>
      <rPr>
        <i/>
        <sz val="10"/>
        <rFont val="Arial"/>
        <family val="2"/>
      </rPr>
      <t xml:space="preserve"> D</t>
    </r>
    <r>
      <rPr>
        <i/>
        <vertAlign val="subscript"/>
        <sz val="10"/>
        <rFont val="Arial"/>
        <family val="2"/>
      </rPr>
      <t>t</t>
    </r>
  </si>
  <si>
    <r>
      <t xml:space="preserve">Period
</t>
    </r>
    <r>
      <rPr>
        <i/>
        <sz val="10"/>
        <rFont val="Arial"/>
        <family val="2"/>
      </rPr>
      <t xml:space="preserve"> t</t>
    </r>
  </si>
  <si>
    <t>Forecasted Data</t>
  </si>
  <si>
    <t xml:space="preserve">Forecasted Demand
</t>
  </si>
  <si>
    <r>
      <t xml:space="preserve">Period
</t>
    </r>
    <r>
      <rPr>
        <i/>
        <sz val="10"/>
        <rFont val="Arial"/>
        <family val="2"/>
      </rPr>
      <t>t</t>
    </r>
  </si>
  <si>
    <r>
      <t xml:space="preserve">Period
 </t>
    </r>
    <r>
      <rPr>
        <b/>
        <i/>
        <sz val="10"/>
        <rFont val="Arial"/>
        <family val="2"/>
      </rPr>
      <t>t</t>
    </r>
  </si>
  <si>
    <r>
      <t>Demand
 D</t>
    </r>
    <r>
      <rPr>
        <b/>
        <vertAlign val="subscript"/>
        <sz val="10"/>
        <rFont val="Arial"/>
        <family val="2"/>
      </rPr>
      <t>t</t>
    </r>
  </si>
  <si>
    <r>
      <t>Level
 L</t>
    </r>
    <r>
      <rPr>
        <b/>
        <vertAlign val="subscript"/>
        <sz val="10"/>
        <rFont val="Arial"/>
        <family val="2"/>
      </rPr>
      <t>t</t>
    </r>
  </si>
  <si>
    <r>
      <t>Forecast
 F</t>
    </r>
    <r>
      <rPr>
        <b/>
        <vertAlign val="subscript"/>
        <sz val="10"/>
        <rFont val="Arial"/>
        <family val="2"/>
      </rPr>
      <t>t</t>
    </r>
  </si>
  <si>
    <r>
      <t>Error
 E</t>
    </r>
    <r>
      <rPr>
        <b/>
        <vertAlign val="subscript"/>
        <sz val="10"/>
        <rFont val="Arial"/>
        <family val="2"/>
      </rPr>
      <t>t</t>
    </r>
  </si>
  <si>
    <r>
      <t>Absolute
Error
 A</t>
    </r>
    <r>
      <rPr>
        <b/>
        <vertAlign val="subscript"/>
        <sz val="10"/>
        <rFont val="Arial"/>
        <family val="2"/>
      </rPr>
      <t>t</t>
    </r>
  </si>
  <si>
    <r>
      <t>Mean Squared
Error
 MSE</t>
    </r>
    <r>
      <rPr>
        <b/>
        <vertAlign val="subscript"/>
        <sz val="10"/>
        <rFont val="Arial"/>
        <family val="2"/>
      </rPr>
      <t>t</t>
    </r>
  </si>
  <si>
    <r>
      <t>MAD</t>
    </r>
    <r>
      <rPr>
        <b/>
        <vertAlign val="subscript"/>
        <sz val="10"/>
        <rFont val="Arial"/>
        <family val="2"/>
      </rPr>
      <t>t</t>
    </r>
  </si>
  <si>
    <r>
      <t>MAPE</t>
    </r>
    <r>
      <rPr>
        <b/>
        <vertAlign val="subscript"/>
        <sz val="10"/>
        <rFont val="Arial"/>
        <family val="2"/>
      </rPr>
      <t>t</t>
    </r>
  </si>
  <si>
    <r>
      <t>TS</t>
    </r>
    <r>
      <rPr>
        <b/>
        <vertAlign val="subscript"/>
        <sz val="10"/>
        <rFont val="Arial"/>
        <family val="2"/>
      </rPr>
      <t>t</t>
    </r>
  </si>
  <si>
    <t>Forecasts Using Trend-Corrected Exponential Smoothing (Holt's Model)</t>
  </si>
  <si>
    <t>HOLT'S MODEL REGRESSION SUMMARY OUTPUT</t>
  </si>
  <si>
    <t>Forecasts Using Trend and Seasonality Corrected Exponential Smoothing)</t>
  </si>
  <si>
    <t>WINTER'S MODEL REGRESSION SUMMARY OUTPUT</t>
  </si>
  <si>
    <t>Deseasonalizing Demand</t>
  </si>
  <si>
    <t>Period
 t</t>
  </si>
  <si>
    <r>
      <t>Demand
 D</t>
    </r>
    <r>
      <rPr>
        <b/>
        <i/>
        <vertAlign val="subscript"/>
        <sz val="10"/>
        <rFont val="Arial"/>
        <family val="2"/>
      </rPr>
      <t>t</t>
    </r>
  </si>
  <si>
    <r>
      <t>Mean Squared
Error MSE</t>
    </r>
    <r>
      <rPr>
        <vertAlign val="subscript"/>
        <sz val="10"/>
        <rFont val="Arial"/>
        <family val="2"/>
      </rPr>
      <t>t</t>
    </r>
  </si>
  <si>
    <t>Forecasting Method</t>
  </si>
  <si>
    <t>MAD</t>
  </si>
  <si>
    <t>MAPE(%)</t>
  </si>
  <si>
    <t>TS Range</t>
  </si>
  <si>
    <t>Min</t>
  </si>
  <si>
    <t>Max</t>
  </si>
  <si>
    <t>Four-period moving average</t>
  </si>
  <si>
    <t>Simple exponential smoothing</t>
  </si>
  <si>
    <t>Holt's model</t>
  </si>
  <si>
    <t>Winter's model</t>
  </si>
  <si>
    <t>Forecast</t>
  </si>
  <si>
    <t>Table 7.1 Quarterly Demand for Tahoe Salt</t>
  </si>
  <si>
    <t>Equation 7.2  Deseasonalizing Demand</t>
  </si>
  <si>
    <t xml:space="preserve">Deseasonalized
Demand
(Eqn 7.4)           </t>
  </si>
  <si>
    <t>Seasonal Factor
(Eqn 7.5)</t>
  </si>
  <si>
    <t xml:space="preserve">Estimate
(Eqn 7.6)   </t>
  </si>
  <si>
    <t>Tahoe Salt Forecasts Using Four-Period Moving Average</t>
  </si>
  <si>
    <t>Tahoe Salt Forecasts Using Simple Exponential Smoothing</t>
  </si>
  <si>
    <t xml:space="preserve">Deseasonalized
Demand 
(Eqn 7.2)           </t>
  </si>
  <si>
    <t xml:space="preserve">Deseasonalized
Demand 
(Eqn 7.3)           </t>
  </si>
  <si>
    <t>Forecast Errors for Tahoe Salt Forecasting</t>
  </si>
  <si>
    <t>L</t>
  </si>
  <si>
    <t>T</t>
  </si>
  <si>
    <t>S</t>
  </si>
  <si>
    <t>Bias</t>
  </si>
  <si>
    <t>?</t>
  </si>
  <si>
    <t>摘要輸出</t>
  </si>
  <si>
    <t>迴歸統計</t>
  </si>
  <si>
    <t>標準誤</t>
  </si>
  <si>
    <t>觀察值個數</t>
  </si>
  <si>
    <t>迴歸</t>
  </si>
  <si>
    <t>殘差</t>
  </si>
  <si>
    <t>總和</t>
  </si>
  <si>
    <t>截距</t>
  </si>
  <si>
    <t>自由度</t>
  </si>
  <si>
    <t>顯著值</t>
  </si>
  <si>
    <t>係數</t>
  </si>
  <si>
    <t>t 統計</t>
  </si>
  <si>
    <t>P-值</t>
  </si>
  <si>
    <t>下限 95%</t>
  </si>
  <si>
    <t>上限 95%</t>
  </si>
  <si>
    <t>下限 95.0%</t>
  </si>
  <si>
    <t>上限 95.0%</t>
  </si>
  <si>
    <r>
      <t xml:space="preserve">R </t>
    </r>
    <r>
      <rPr>
        <sz val="10"/>
        <rFont val="Arial"/>
        <family val="2"/>
      </rPr>
      <t>的倍數</t>
    </r>
  </si>
  <si>
    <r>
      <t xml:space="preserve">R </t>
    </r>
    <r>
      <rPr>
        <sz val="10"/>
        <rFont val="Arial"/>
        <family val="2"/>
      </rPr>
      <t>平方</t>
    </r>
  </si>
  <si>
    <r>
      <t>調整的</t>
    </r>
    <r>
      <rPr>
        <sz val="10"/>
        <rFont val="Arial"/>
        <family val="2"/>
      </rPr>
      <t xml:space="preserve"> R 平方</t>
    </r>
  </si>
  <si>
    <r>
      <t xml:space="preserve">X </t>
    </r>
    <r>
      <rPr>
        <sz val="10"/>
        <rFont val="Arial"/>
        <family val="2"/>
      </rPr>
      <t>變數 1</t>
    </r>
  </si>
  <si>
    <r>
      <t xml:space="preserve">Period </t>
    </r>
    <r>
      <rPr>
        <i/>
        <sz val="10"/>
        <rFont val="Arial"/>
        <family val="2"/>
      </rPr>
      <t>t</t>
    </r>
  </si>
  <si>
    <t>Page 225 Example 7-1 Moving Average</t>
  </si>
  <si>
    <t>Page 226 Example 7-2 Simple Exponential Smoothing</t>
  </si>
  <si>
    <t>Page 228 Example 7-3 Holt's Model</t>
  </si>
  <si>
    <t>L</t>
  </si>
  <si>
    <t>T</t>
  </si>
  <si>
    <t>S</t>
  </si>
  <si>
    <t>12,2</t>
  </si>
  <si>
    <t>12,3</t>
  </si>
  <si>
    <t>12,4</t>
  </si>
  <si>
    <t>13,1</t>
  </si>
  <si>
    <r>
      <t>MAPE</t>
    </r>
    <r>
      <rPr>
        <b/>
        <vertAlign val="subscript"/>
        <sz val="10"/>
        <color indexed="10"/>
        <rFont val="Arial"/>
        <family val="2"/>
      </rPr>
      <t>t</t>
    </r>
  </si>
  <si>
    <t>Page 229 Example 7-4 Winter's Model</t>
  </si>
  <si>
    <r>
      <t>% MAPE</t>
    </r>
    <r>
      <rPr>
        <b/>
        <vertAlign val="subscript"/>
        <sz val="10"/>
        <color indexed="8"/>
        <rFont val="Arial"/>
        <family val="2"/>
      </rPr>
      <t>t</t>
    </r>
  </si>
  <si>
    <t>2011,2</t>
  </si>
  <si>
    <t>2011,3</t>
  </si>
  <si>
    <t>2011,4</t>
  </si>
  <si>
    <t>2012,1</t>
  </si>
  <si>
    <t>2012,2</t>
  </si>
  <si>
    <t>2012,3</t>
  </si>
  <si>
    <t>2012,4</t>
  </si>
  <si>
    <t>2013,1</t>
  </si>
  <si>
    <t>2013,2</t>
  </si>
  <si>
    <t>2013,3</t>
  </si>
  <si>
    <t>2013,4</t>
  </si>
  <si>
    <t>2014,1</t>
  </si>
  <si>
    <t>2014,2</t>
  </si>
  <si>
    <t>2014,3</t>
  </si>
  <si>
    <t>2014,4</t>
  </si>
  <si>
    <t>2015,1</t>
  </si>
  <si>
    <t>Forecast Demand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</si>
</sst>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0.00000000"/>
    <numFmt numFmtId="192" formatCode="0.0000000"/>
    <numFmt numFmtId="193" formatCode="0.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_ "/>
    <numFmt numFmtId="199" formatCode="#,##0.0000"/>
  </numFmts>
  <fonts count="99">
    <font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9"/>
      <name val="細明體"/>
      <family val="3"/>
    </font>
    <font>
      <sz val="21.25"/>
      <color indexed="8"/>
      <name val="Arial"/>
      <family val="2"/>
    </font>
    <font>
      <sz val="12"/>
      <color indexed="8"/>
      <name val="Arial"/>
      <family val="2"/>
    </font>
    <font>
      <sz val="23.75"/>
      <color indexed="8"/>
      <name val="Arial"/>
      <family val="2"/>
    </font>
    <font>
      <sz val="11.5"/>
      <color indexed="8"/>
      <name val="Arial"/>
      <family val="2"/>
    </font>
    <font>
      <sz val="10.55"/>
      <color indexed="8"/>
      <name val="Arial"/>
      <family val="2"/>
    </font>
    <font>
      <sz val="19.5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.85"/>
      <color indexed="8"/>
      <name val="Arial"/>
      <family val="2"/>
    </font>
    <font>
      <sz val="16.75"/>
      <color indexed="8"/>
      <name val="Arial"/>
      <family val="2"/>
    </font>
    <font>
      <sz val="15.4"/>
      <color indexed="8"/>
      <name val="Arial"/>
      <family val="2"/>
    </font>
    <font>
      <sz val="21.5"/>
      <color indexed="8"/>
      <name val="Arial"/>
      <family val="2"/>
    </font>
    <font>
      <sz val="14.25"/>
      <color indexed="8"/>
      <name val="Arial"/>
      <family val="2"/>
    </font>
    <font>
      <sz val="14.7"/>
      <color indexed="8"/>
      <name val="Arial"/>
      <family val="2"/>
    </font>
    <font>
      <sz val="20.5"/>
      <color indexed="8"/>
      <name val="Arial"/>
      <family val="2"/>
    </font>
    <font>
      <sz val="18"/>
      <color indexed="8"/>
      <name val="Arial"/>
      <family val="2"/>
    </font>
    <font>
      <sz val="18.75"/>
      <color indexed="8"/>
      <name val="Arial"/>
      <family val="2"/>
    </font>
    <font>
      <sz val="16"/>
      <color indexed="8"/>
      <name val="Arial"/>
      <family val="2"/>
    </font>
    <font>
      <sz val="17.25"/>
      <color indexed="8"/>
      <name val="Arial"/>
      <family val="2"/>
    </font>
    <font>
      <sz val="20.75"/>
      <color indexed="8"/>
      <name val="Arial"/>
      <family val="2"/>
    </font>
    <font>
      <sz val="16.55"/>
      <color indexed="8"/>
      <name val="Arial"/>
      <family val="2"/>
    </font>
    <font>
      <sz val="23"/>
      <color indexed="8"/>
      <name val="Arial"/>
      <family val="2"/>
    </font>
    <font>
      <sz val="24"/>
      <color indexed="8"/>
      <name val="Arial"/>
      <family val="2"/>
    </font>
    <font>
      <sz val="15.85"/>
      <color indexed="8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28"/>
      <name val="Arial"/>
      <family val="2"/>
    </font>
    <font>
      <b/>
      <sz val="14.75"/>
      <color indexed="8"/>
      <name val="Arial"/>
      <family val="2"/>
    </font>
    <font>
      <b/>
      <sz val="16.25"/>
      <color indexed="8"/>
      <name val="Arial"/>
      <family val="2"/>
    </font>
    <font>
      <b/>
      <sz val="12"/>
      <color indexed="8"/>
      <name val="Arial"/>
      <family val="2"/>
    </font>
    <font>
      <b/>
      <sz val="18.75"/>
      <color indexed="8"/>
      <name val="Arial"/>
      <family val="2"/>
    </font>
    <font>
      <i/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7" tint="-0.4999699890613556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6" fillId="20" borderId="0" applyNumberFormat="0" applyBorder="0" applyAlignment="0" applyProtection="0"/>
    <xf numFmtId="0" fontId="77" fillId="0" borderId="1" applyNumberFormat="0" applyFill="0" applyAlignment="0" applyProtection="0"/>
    <xf numFmtId="0" fontId="78" fillId="21" borderId="0" applyNumberFormat="0" applyBorder="0" applyAlignment="0" applyProtection="0"/>
    <xf numFmtId="9" fontId="0" fillId="0" borderId="0" applyFont="0" applyFill="0" applyBorder="0" applyAlignment="0" applyProtection="0"/>
    <xf numFmtId="0" fontId="7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0" fillId="23" borderId="4" applyNumberFormat="0" applyFont="0" applyAlignment="0" applyProtection="0"/>
    <xf numFmtId="0" fontId="81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2" applyNumberFormat="0" applyAlignment="0" applyProtection="0"/>
    <xf numFmtId="0" fontId="87" fillId="22" borderId="8" applyNumberFormat="0" applyAlignment="0" applyProtection="0"/>
    <xf numFmtId="0" fontId="88" fillId="31" borderId="9" applyNumberFormat="0" applyAlignment="0" applyProtection="0"/>
    <xf numFmtId="0" fontId="89" fillId="32" borderId="0" applyNumberFormat="0" applyBorder="0" applyAlignment="0" applyProtection="0"/>
    <xf numFmtId="0" fontId="90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90" fontId="4" fillId="33" borderId="12" xfId="33" applyNumberFormat="1" applyFont="1" applyFill="1" applyBorder="1" applyAlignment="1">
      <alignment/>
    </xf>
    <xf numFmtId="190" fontId="4" fillId="34" borderId="18" xfId="33" applyNumberFormat="1" applyFont="1" applyFill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4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 horizontal="center"/>
    </xf>
    <xf numFmtId="0" fontId="9" fillId="0" borderId="0" xfId="0" applyFont="1" applyAlignment="1">
      <alignment/>
    </xf>
    <xf numFmtId="0" fontId="4" fillId="0" borderId="24" xfId="0" applyFont="1" applyBorder="1" applyAlignment="1">
      <alignment/>
    </xf>
    <xf numFmtId="0" fontId="0" fillId="0" borderId="18" xfId="0" applyBorder="1" applyAlignment="1">
      <alignment/>
    </xf>
    <xf numFmtId="0" fontId="4" fillId="0" borderId="25" xfId="0" applyFont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190" fontId="9" fillId="35" borderId="0" xfId="33" applyNumberFormat="1" applyFont="1" applyFill="1" applyBorder="1" applyAlignment="1">
      <alignment/>
    </xf>
    <xf numFmtId="190" fontId="9" fillId="33" borderId="10" xfId="33" applyNumberFormat="1" applyFont="1" applyFill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11" fillId="0" borderId="0" xfId="0" applyFont="1" applyAlignment="1">
      <alignment/>
    </xf>
    <xf numFmtId="3" fontId="0" fillId="0" borderId="17" xfId="33" applyNumberFormat="1" applyFont="1" applyBorder="1" applyAlignment="1">
      <alignment horizontal="center"/>
    </xf>
    <xf numFmtId="3" fontId="0" fillId="33" borderId="12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" fontId="0" fillId="0" borderId="12" xfId="33" applyNumberFormat="1" applyFont="1" applyBorder="1" applyAlignment="1">
      <alignment horizontal="center"/>
    </xf>
    <xf numFmtId="1" fontId="0" fillId="0" borderId="18" xfId="33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5" xfId="0" applyBorder="1" applyAlignment="1">
      <alignment/>
    </xf>
    <xf numFmtId="1" fontId="0" fillId="0" borderId="16" xfId="33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2" fillId="0" borderId="33" xfId="0" applyFont="1" applyBorder="1" applyAlignment="1">
      <alignment horizontal="center" wrapText="1"/>
    </xf>
    <xf numFmtId="3" fontId="13" fillId="0" borderId="17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90" fontId="0" fillId="0" borderId="12" xfId="33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90" fontId="0" fillId="0" borderId="18" xfId="33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190" fontId="0" fillId="0" borderId="30" xfId="33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90" fontId="0" fillId="0" borderId="16" xfId="33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90" fontId="0" fillId="0" borderId="25" xfId="33" applyNumberFormat="1" applyFont="1" applyFill="1" applyBorder="1" applyAlignment="1">
      <alignment horizontal="center"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42" xfId="0" applyFont="1" applyBorder="1" applyAlignment="1">
      <alignment/>
    </xf>
    <xf numFmtId="187" fontId="16" fillId="0" borderId="43" xfId="0" applyNumberFormat="1" applyFont="1" applyBorder="1" applyAlignment="1">
      <alignment/>
    </xf>
    <xf numFmtId="187" fontId="16" fillId="0" borderId="41" xfId="0" applyNumberFormat="1" applyFont="1" applyBorder="1" applyAlignment="1">
      <alignment/>
    </xf>
    <xf numFmtId="0" fontId="16" fillId="0" borderId="4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1" fontId="15" fillId="0" borderId="0" xfId="0" applyNumberFormat="1" applyFont="1" applyAlignment="1">
      <alignment horizontal="center"/>
    </xf>
    <xf numFmtId="2" fontId="13" fillId="0" borderId="33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4" fontId="13" fillId="0" borderId="12" xfId="0" applyNumberFormat="1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189" fontId="0" fillId="0" borderId="12" xfId="33" applyNumberFormat="1" applyFont="1" applyFill="1" applyBorder="1" applyAlignment="1">
      <alignment horizontal="center"/>
    </xf>
    <xf numFmtId="189" fontId="0" fillId="0" borderId="16" xfId="33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189" fontId="0" fillId="0" borderId="18" xfId="3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17" fillId="0" borderId="20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51" xfId="0" applyNumberFormat="1" applyFont="1" applyBorder="1" applyAlignment="1">
      <alignment/>
    </xf>
    <xf numFmtId="3" fontId="17" fillId="0" borderId="16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2" fontId="18" fillId="0" borderId="1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3" fontId="9" fillId="0" borderId="2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3" fontId="13" fillId="0" borderId="12" xfId="0" applyNumberFormat="1" applyFont="1" applyFill="1" applyBorder="1" applyAlignment="1">
      <alignment horizontal="center"/>
    </xf>
    <xf numFmtId="0" fontId="91" fillId="36" borderId="13" xfId="0" applyFont="1" applyFill="1" applyBorder="1" applyAlignment="1">
      <alignment horizontal="center"/>
    </xf>
    <xf numFmtId="3" fontId="13" fillId="36" borderId="17" xfId="33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3" fontId="0" fillId="36" borderId="12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3" fontId="13" fillId="36" borderId="12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1" fontId="0" fillId="36" borderId="12" xfId="0" applyNumberFormat="1" applyFill="1" applyBorder="1" applyAlignment="1">
      <alignment horizontal="center"/>
    </xf>
    <xf numFmtId="4" fontId="13" fillId="36" borderId="12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" fontId="92" fillId="0" borderId="12" xfId="0" applyNumberFormat="1" applyFont="1" applyFill="1" applyBorder="1" applyAlignment="1">
      <alignment horizontal="center"/>
    </xf>
    <xf numFmtId="3" fontId="93" fillId="36" borderId="36" xfId="0" applyNumberFormat="1" applyFont="1" applyFill="1" applyBorder="1" applyAlignment="1">
      <alignment horizontal="center"/>
    </xf>
    <xf numFmtId="3" fontId="93" fillId="36" borderId="38" xfId="0" applyNumberFormat="1" applyFont="1" applyFill="1" applyBorder="1" applyAlignment="1">
      <alignment horizontal="center"/>
    </xf>
    <xf numFmtId="4" fontId="93" fillId="36" borderId="25" xfId="0" applyNumberFormat="1" applyFont="1" applyFill="1" applyBorder="1" applyAlignment="1">
      <alignment horizontal="center"/>
    </xf>
    <xf numFmtId="4" fontId="93" fillId="36" borderId="12" xfId="0" applyNumberFormat="1" applyFont="1" applyFill="1" applyBorder="1" applyAlignment="1">
      <alignment horizontal="center"/>
    </xf>
    <xf numFmtId="3" fontId="92" fillId="0" borderId="24" xfId="0" applyNumberFormat="1" applyFont="1" applyFill="1" applyBorder="1" applyAlignment="1">
      <alignment horizontal="center"/>
    </xf>
    <xf numFmtId="3" fontId="92" fillId="0" borderId="25" xfId="0" applyNumberFormat="1" applyFont="1" applyFill="1" applyBorder="1" applyAlignment="1">
      <alignment horizontal="center"/>
    </xf>
    <xf numFmtId="3" fontId="92" fillId="0" borderId="13" xfId="0" applyNumberFormat="1" applyFont="1" applyFill="1" applyBorder="1" applyAlignment="1">
      <alignment horizontal="center"/>
    </xf>
    <xf numFmtId="3" fontId="92" fillId="0" borderId="12" xfId="0" applyNumberFormat="1" applyFont="1" applyFill="1" applyBorder="1" applyAlignment="1">
      <alignment horizontal="center"/>
    </xf>
    <xf numFmtId="3" fontId="92" fillId="0" borderId="32" xfId="0" applyNumberFormat="1" applyFont="1" applyFill="1" applyBorder="1" applyAlignment="1">
      <alignment horizontal="center"/>
    </xf>
    <xf numFmtId="3" fontId="92" fillId="0" borderId="30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183" fontId="0" fillId="0" borderId="20" xfId="33" applyFont="1" applyBorder="1" applyAlignment="1">
      <alignment/>
    </xf>
    <xf numFmtId="183" fontId="0" fillId="0" borderId="17" xfId="33" applyFont="1" applyBorder="1" applyAlignment="1">
      <alignment/>
    </xf>
    <xf numFmtId="183" fontId="0" fillId="0" borderId="19" xfId="33" applyFont="1" applyBorder="1" applyAlignment="1">
      <alignment/>
    </xf>
    <xf numFmtId="3" fontId="92" fillId="0" borderId="27" xfId="0" applyNumberFormat="1" applyFont="1" applyBorder="1" applyAlignment="1">
      <alignment horizontal="center"/>
    </xf>
    <xf numFmtId="3" fontId="92" fillId="0" borderId="26" xfId="0" applyNumberFormat="1" applyFont="1" applyBorder="1" applyAlignment="1">
      <alignment horizontal="center"/>
    </xf>
    <xf numFmtId="3" fontId="92" fillId="0" borderId="48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92" fillId="0" borderId="23" xfId="0" applyFont="1" applyBorder="1" applyAlignment="1">
      <alignment horizontal="center"/>
    </xf>
    <xf numFmtId="3" fontId="92" fillId="0" borderId="38" xfId="0" applyNumberFormat="1" applyFont="1" applyFill="1" applyBorder="1" applyAlignment="1">
      <alignment horizontal="center"/>
    </xf>
    <xf numFmtId="4" fontId="92" fillId="0" borderId="25" xfId="0" applyNumberFormat="1" applyFont="1" applyFill="1" applyBorder="1" applyAlignment="1">
      <alignment horizontal="center"/>
    </xf>
    <xf numFmtId="4" fontId="92" fillId="0" borderId="30" xfId="0" applyNumberFormat="1" applyFont="1" applyFill="1" applyBorder="1" applyAlignment="1">
      <alignment horizontal="center"/>
    </xf>
    <xf numFmtId="4" fontId="9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3" fontId="9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/>
    </xf>
    <xf numFmtId="4" fontId="96" fillId="0" borderId="12" xfId="0" applyNumberFormat="1" applyFont="1" applyFill="1" applyBorder="1" applyAlignment="1">
      <alignment horizontal="center"/>
    </xf>
    <xf numFmtId="183" fontId="0" fillId="0" borderId="12" xfId="33" applyFont="1" applyBorder="1" applyAlignment="1">
      <alignment/>
    </xf>
    <xf numFmtId="0" fontId="13" fillId="0" borderId="12" xfId="0" applyFont="1" applyBorder="1" applyAlignment="1">
      <alignment/>
    </xf>
    <xf numFmtId="190" fontId="94" fillId="0" borderId="12" xfId="33" applyNumberFormat="1" applyFont="1" applyFill="1" applyBorder="1" applyAlignment="1">
      <alignment horizontal="center"/>
    </xf>
    <xf numFmtId="189" fontId="94" fillId="0" borderId="12" xfId="33" applyNumberFormat="1" applyFont="1" applyFill="1" applyBorder="1" applyAlignment="1">
      <alignment horizontal="center"/>
    </xf>
    <xf numFmtId="3" fontId="97" fillId="36" borderId="12" xfId="0" applyNumberFormat="1" applyFont="1" applyFill="1" applyBorder="1" applyAlignment="1">
      <alignment horizontal="right"/>
    </xf>
    <xf numFmtId="183" fontId="92" fillId="0" borderId="12" xfId="33" applyFont="1" applyBorder="1" applyAlignment="1">
      <alignment/>
    </xf>
    <xf numFmtId="183" fontId="0" fillId="0" borderId="0" xfId="33" applyFont="1" applyBorder="1" applyAlignment="1">
      <alignment/>
    </xf>
    <xf numFmtId="183" fontId="92" fillId="0" borderId="0" xfId="33" applyFont="1" applyBorder="1" applyAlignment="1">
      <alignment/>
    </xf>
    <xf numFmtId="4" fontId="94" fillId="36" borderId="12" xfId="0" applyNumberFormat="1" applyFont="1" applyFill="1" applyBorder="1" applyAlignment="1">
      <alignment horizontal="center"/>
    </xf>
    <xf numFmtId="3" fontId="92" fillId="36" borderId="12" xfId="0" applyNumberFormat="1" applyFont="1" applyFill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92" fillId="0" borderId="0" xfId="0" applyFont="1" applyAlignment="1">
      <alignment horizontal="left"/>
    </xf>
    <xf numFmtId="0" fontId="98" fillId="0" borderId="21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7.1 Quarterly Demand at Tahoe Salt</a:t>
            </a:r>
          </a:p>
        </c:rich>
      </c:tx>
      <c:layout>
        <c:manualLayout>
          <c:xMode val="factor"/>
          <c:yMode val="factor"/>
          <c:x val="0.02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275"/>
          <c:w val="0.915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'Table 7.1 Tahoe Salt'!$C$3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7.1 Tahoe Salt'!$A$4:$A$15</c:f>
              <c:strCache/>
            </c:strRef>
          </c:cat>
          <c:val>
            <c:numRef>
              <c:f>'Table 7.1 Tahoe Salt'!$C$4:$C$15</c:f>
              <c:numCache/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Year, Quarter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 val="autoZero"/>
        <c:auto val="1"/>
        <c:lblOffset val="100"/>
        <c:tickLblSkip val="1"/>
        <c:noMultiLvlLbl val="0"/>
      </c:catAx>
      <c:valAx>
        <c:axId val="192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58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1875"/>
          <c:h val="0.959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deseasonalized!$B$4:$B$15</c:f>
              <c:numCache/>
            </c:numRef>
          </c:val>
          <c:smooth val="0"/>
        </c:ser>
        <c:ser>
          <c:idx val="1"/>
          <c:order val="1"/>
          <c:tx>
            <c:v>Deseasonlized Demand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deseasonalized!$D$4:$D$15</c:f>
              <c:numCache/>
            </c:numRef>
          </c:val>
          <c:smooth val="0"/>
        </c:ser>
        <c:marker val="1"/>
        <c:axId val="4478812"/>
        <c:axId val="40309309"/>
      </c:line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auto val="1"/>
        <c:lblOffset val="100"/>
        <c:tickLblSkip val="1"/>
        <c:noMultiLvlLbl val="0"/>
      </c:catAx>
      <c:valAx>
        <c:axId val="40309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0075"/>
          <c:w val="0.15325"/>
          <c:h val="0.2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7.3 Deseasonalized Demand for Tahoe Salt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625"/>
          <c:w val="0.92625"/>
          <c:h val="0.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'Figure7.2'!$B$1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'Figure7.2'!$A$2:$A$13</c:f>
              <c:numCache/>
            </c:numRef>
          </c:xVal>
          <c:yVal>
            <c:numRef>
              <c:f>'Figure7.2'!$B$2:$B$13</c:f>
              <c:numCache/>
            </c:numRef>
          </c:yVal>
          <c:smooth val="0"/>
        </c:ser>
        <c:ser>
          <c:idx val="1"/>
          <c:order val="1"/>
          <c:tx>
            <c:strRef>
              <c:f>'Figure7.2'!$C$1</c:f>
              <c:strCache>
                <c:ptCount val="1"/>
                <c:pt idx="0">
                  <c:v>Deseasonalized Demand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'Figure7.2'!$A$2:$A$13</c:f>
              <c:numCache/>
            </c:numRef>
          </c:xVal>
          <c:yVal>
            <c:numRef>
              <c:f>'Figure7.2'!$C$2:$C$13</c:f>
              <c:numCache/>
            </c:numRef>
          </c:yVal>
          <c:smooth val="0"/>
        </c:ser>
        <c:axId val="17293708"/>
        <c:axId val="21425645"/>
      </c:scatterChart>
      <c:valAx>
        <c:axId val="1729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 val="autoZero"/>
        <c:crossBetween val="midCat"/>
        <c:dispUnits/>
        <c:majorUnit val="1"/>
      </c:valAx>
      <c:valAx>
        <c:axId val="2142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93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3475"/>
          <c:w val="0.426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25"/>
          <c:w val="0.814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'Figure7.4'!$B$1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'Figure7.4'!$A$2:$A$17</c:f>
              <c:numCache/>
            </c:numRef>
          </c:cat>
          <c:val>
            <c:numRef>
              <c:f>'Figure7.4'!$B$2:$B$13</c:f>
              <c:numCache/>
            </c:numRef>
          </c:val>
          <c:smooth val="0"/>
        </c:ser>
        <c:ser>
          <c:idx val="1"/>
          <c:order val="1"/>
          <c:tx>
            <c:strRef>
              <c:f>'Figure7.4'!$F$1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'Figure7.4'!$A$2:$A$17</c:f>
              <c:numCache/>
            </c:numRef>
          </c:cat>
          <c:val>
            <c:numRef>
              <c:f>'Figure7.4'!$F$2:$F$17</c:f>
              <c:numCache/>
            </c:numRef>
          </c:val>
          <c:smooth val="0"/>
        </c:ser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 val="autoZero"/>
        <c:auto val="1"/>
        <c:lblOffset val="100"/>
        <c:tickLblSkip val="1"/>
        <c:noMultiLvlLbl val="0"/>
      </c:catAx>
      <c:valAx>
        <c:axId val="57755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4175"/>
          <c:w val="0.131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25"/>
          <c:w val="0.75925"/>
          <c:h val="0.9555"/>
        </c:manualLayout>
      </c:layout>
      <c:lineChart>
        <c:grouping val="standard"/>
        <c:varyColors val="0"/>
        <c:ser>
          <c:idx val="0"/>
          <c:order val="0"/>
          <c:tx>
            <c:strRef>
              <c:f>'Figure7.4'!$B$1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'Figure7.4'!$A$2:$A$13</c:f>
              <c:numCache/>
            </c:numRef>
          </c:cat>
          <c:val>
            <c:numRef>
              <c:f>'Figure7.4'!$B$2:$B$13</c:f>
              <c:numCache/>
            </c:numRef>
          </c:val>
          <c:smooth val="0"/>
        </c:ser>
        <c:ser>
          <c:idx val="1"/>
          <c:order val="1"/>
          <c:tx>
            <c:strRef>
              <c:f>'Figure7.4'!$C$1</c:f>
              <c:strCache>
                <c:ptCount val="1"/>
                <c:pt idx="0">
                  <c:v>Deseasonalized
Demand
(Eqn 7.4)          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'Figure7.4'!$A$2:$A$13</c:f>
              <c:numCache/>
            </c:numRef>
          </c:cat>
          <c:val>
            <c:numRef>
              <c:f>'Figure7.4'!$C$2:$C$13</c:f>
              <c:numCache/>
            </c:numRef>
          </c:val>
          <c:smooth val="0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6449"/>
        <c:crosses val="autoZero"/>
        <c:auto val="1"/>
        <c:lblOffset val="100"/>
        <c:tickLblSkip val="1"/>
        <c:noMultiLvlLbl val="0"/>
      </c:catAx>
      <c:valAx>
        <c:axId val="47696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2745"/>
          <c:w val="0.21325"/>
          <c:h val="0.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125"/>
          <c:w val="0.8045"/>
          <c:h val="0.9575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'Ex.7-4'!$B$4:$B$15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'Ex.7-4'!$F$4:$F$19</c:f>
              <c:numCache/>
            </c:numRef>
          </c:val>
          <c:smooth val="0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06"/>
          <c:w val="0.164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4"/>
          <c:w val="0.847"/>
          <c:h val="0.9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'Figure7.5 Moving Average'!$B$2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'Figure7.5 Moving Average'!$A$3:$A$14</c:f>
              <c:numCache/>
            </c:numRef>
          </c:xVal>
          <c:yVal>
            <c:numRef>
              <c:f>'Figure7.5 Moving Average'!$B$3:$B$14</c:f>
              <c:numCache/>
            </c:numRef>
          </c:yVal>
          <c:smooth val="0"/>
        </c:ser>
        <c:ser>
          <c:idx val="1"/>
          <c:order val="1"/>
          <c:tx>
            <c:strRef>
              <c:f>'Figure7.5 Moving Average'!$D$2</c:f>
              <c:strCache>
                <c:ptCount val="1"/>
                <c:pt idx="0">
                  <c:v>Forecast
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'Figure7.5 Moving Average'!$A$7:$A$18</c:f>
              <c:numCache/>
            </c:numRef>
          </c:xVal>
          <c:yVal>
            <c:numRef>
              <c:f>'Figure7.5 Moving Average'!$D$7:$D$18</c:f>
              <c:numCache/>
            </c:numRef>
          </c:yVal>
          <c:smooth val="0"/>
        </c:ser>
        <c:axId val="8319860"/>
        <c:axId val="7769877"/>
      </c:scatterChart>
      <c:val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crossBetween val="midCat"/>
        <c:dispUnits/>
        <c:majorUnit val="1"/>
      </c:valAx>
      <c:valAx>
        <c:axId val="7769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3325"/>
          <c:w val="0.12825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6"/>
          <c:w val="0.83125"/>
          <c:h val="0.948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'Figure7.6 Smoothing'!$A$4:$A$19</c:f>
              <c:numCache/>
            </c:numRef>
          </c:cat>
          <c:val>
            <c:numRef>
              <c:f>'Figure7.6 Smoothing'!$B$4:$B$15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'Figure7.6 Smoothing'!$A$4:$A$19</c:f>
              <c:numCache/>
            </c:numRef>
          </c:cat>
          <c:val>
            <c:numRef>
              <c:f>'Figure7.6 Smoothing'!$D$4:$D$19</c:f>
              <c:numCache/>
            </c:numRef>
          </c:val>
          <c:smooth val="0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6825"/>
          <c:w val="0.144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375"/>
          <c:w val="0.84175"/>
          <c:h val="0.9525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'Figure7.7 Holt''s'!$A$4:$A$19</c:f>
              <c:numCache/>
            </c:numRef>
          </c:cat>
          <c:val>
            <c:numRef>
              <c:f>'Figure7.7 Holt''s'!$B$4:$B$15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'Figure7.7 Holt''s'!$A$4:$A$19</c:f>
              <c:numCache/>
            </c:numRef>
          </c:cat>
          <c:val>
            <c:numRef>
              <c:f>'Figure7.7 Holt''s'!$E$4:$E$19</c:f>
              <c:numCache/>
            </c:numRef>
          </c:val>
          <c:smooth val="0"/>
        </c:ser>
        <c:marker val="1"/>
        <c:axId val="27095848"/>
        <c:axId val="42536041"/>
      </c:line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37625"/>
          <c:w val="0.135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125"/>
          <c:w val="0.841"/>
          <c:h val="0.9575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'Figure7.8 Winter'!$B$4:$B$15</c:f>
              <c:numCache/>
            </c:numRef>
          </c:val>
          <c:smooth val="0"/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2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'Figure7.8 Winter'!$F$4:$F$19</c:f>
              <c:numCache/>
            </c:numRef>
          </c:val>
          <c:smooth val="0"/>
        </c:ser>
        <c:marker val="1"/>
        <c:axId val="47280050"/>
        <c:axId val="22867267"/>
      </c:line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89"/>
          <c:w val="0.13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5.wmf" /><Relationship Id="rId4" Type="http://schemas.openxmlformats.org/officeDocument/2006/relationships/image" Target="../media/image4.wmf" /><Relationship Id="rId5" Type="http://schemas.openxmlformats.org/officeDocument/2006/relationships/image" Target="../media/image4.wmf" /><Relationship Id="rId6" Type="http://schemas.openxmlformats.org/officeDocument/2006/relationships/image" Target="../media/image4.wmf" /><Relationship Id="rId7" Type="http://schemas.openxmlformats.org/officeDocument/2006/relationships/image" Target="../media/image4.wmf" /><Relationship Id="rId8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5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12</xdr:col>
      <xdr:colOff>209550</xdr:colOff>
      <xdr:row>47</xdr:row>
      <xdr:rowOff>104775</xdr:rowOff>
    </xdr:to>
    <xdr:graphicFrame>
      <xdr:nvGraphicFramePr>
        <xdr:cNvPr id="1" name="圖表 1"/>
        <xdr:cNvGraphicFramePr/>
      </xdr:nvGraphicFramePr>
      <xdr:xfrm>
        <a:off x="0" y="4029075"/>
        <a:ext cx="7572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38100</xdr:rowOff>
    </xdr:from>
    <xdr:to>
      <xdr:col>14</xdr:col>
      <xdr:colOff>9525</xdr:colOff>
      <xdr:row>52</xdr:row>
      <xdr:rowOff>47625</xdr:rowOff>
    </xdr:to>
    <xdr:graphicFrame>
      <xdr:nvGraphicFramePr>
        <xdr:cNvPr id="1" name="圖表 1"/>
        <xdr:cNvGraphicFramePr/>
      </xdr:nvGraphicFramePr>
      <xdr:xfrm>
        <a:off x="38100" y="4514850"/>
        <a:ext cx="102393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18</xdr:row>
      <xdr:rowOff>152400</xdr:rowOff>
    </xdr:from>
    <xdr:to>
      <xdr:col>13</xdr:col>
      <xdr:colOff>447675</xdr:colOff>
      <xdr:row>48</xdr:row>
      <xdr:rowOff>38100</xdr:rowOff>
    </xdr:to>
    <xdr:graphicFrame>
      <xdr:nvGraphicFramePr>
        <xdr:cNvPr id="1" name="圖表 3"/>
        <xdr:cNvGraphicFramePr/>
      </xdr:nvGraphicFramePr>
      <xdr:xfrm>
        <a:off x="571500" y="3505200"/>
        <a:ext cx="93440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23</xdr:row>
      <xdr:rowOff>19050</xdr:rowOff>
    </xdr:from>
    <xdr:to>
      <xdr:col>2</xdr:col>
      <xdr:colOff>419100</xdr:colOff>
      <xdr:row>25</xdr:row>
      <xdr:rowOff>152400</xdr:rowOff>
    </xdr:to>
    <xdr:sp>
      <xdr:nvSpPr>
        <xdr:cNvPr id="1" name="Oval 1"/>
        <xdr:cNvSpPr>
          <a:spLocks/>
        </xdr:cNvSpPr>
      </xdr:nvSpPr>
      <xdr:spPr>
        <a:xfrm>
          <a:off x="419100" y="3800475"/>
          <a:ext cx="1657350" cy="457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estimate of trend</a:t>
          </a:r>
        </a:p>
      </xdr:txBody>
    </xdr:sp>
    <xdr:clientData/>
  </xdr:twoCellAnchor>
  <xdr:twoCellAnchor>
    <xdr:from>
      <xdr:col>2</xdr:col>
      <xdr:colOff>333375</xdr:colOff>
      <xdr:row>20</xdr:row>
      <xdr:rowOff>19050</xdr:rowOff>
    </xdr:from>
    <xdr:to>
      <xdr:col>4</xdr:col>
      <xdr:colOff>409575</xdr:colOff>
      <xdr:row>22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990725" y="3314700"/>
          <a:ext cx="1562100" cy="4572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estimate of level</a:t>
          </a:r>
        </a:p>
      </xdr:txBody>
    </xdr:sp>
    <xdr:clientData/>
  </xdr:twoCellAnchor>
  <xdr:twoCellAnchor>
    <xdr:from>
      <xdr:col>1</xdr:col>
      <xdr:colOff>666750</xdr:colOff>
      <xdr:row>16</xdr:row>
      <xdr:rowOff>104775</xdr:rowOff>
    </xdr:from>
    <xdr:to>
      <xdr:col>2</xdr:col>
      <xdr:colOff>447675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1638300" y="2743200"/>
          <a:ext cx="466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95250</xdr:rowOff>
    </xdr:from>
    <xdr:to>
      <xdr:col>1</xdr:col>
      <xdr:colOff>447675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1352550" y="2895600"/>
          <a:ext cx="666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95250</xdr:rowOff>
    </xdr:from>
    <xdr:to>
      <xdr:col>11</xdr:col>
      <xdr:colOff>447675</xdr:colOff>
      <xdr:row>56</xdr:row>
      <xdr:rowOff>133350</xdr:rowOff>
    </xdr:to>
    <xdr:graphicFrame>
      <xdr:nvGraphicFramePr>
        <xdr:cNvPr id="1" name="圖表 3"/>
        <xdr:cNvGraphicFramePr/>
      </xdr:nvGraphicFramePr>
      <xdr:xfrm>
        <a:off x="76200" y="4543425"/>
        <a:ext cx="8467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15</xdr:row>
      <xdr:rowOff>28575</xdr:rowOff>
    </xdr:from>
    <xdr:to>
      <xdr:col>4</xdr:col>
      <xdr:colOff>276225</xdr:colOff>
      <xdr:row>22</xdr:row>
      <xdr:rowOff>9525</xdr:rowOff>
    </xdr:to>
    <xdr:pic>
      <xdr:nvPicPr>
        <xdr:cNvPr id="2" name="Picture 4" descr="equation 11,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95575"/>
          <a:ext cx="4010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18</xdr:row>
      <xdr:rowOff>123825</xdr:rowOff>
    </xdr:from>
    <xdr:to>
      <xdr:col>4</xdr:col>
      <xdr:colOff>314325</xdr:colOff>
      <xdr:row>20</xdr:row>
      <xdr:rowOff>133350</xdr:rowOff>
    </xdr:to>
    <xdr:sp>
      <xdr:nvSpPr>
        <xdr:cNvPr id="1" name="Oval 2"/>
        <xdr:cNvSpPr>
          <a:spLocks/>
        </xdr:cNvSpPr>
      </xdr:nvSpPr>
      <xdr:spPr>
        <a:xfrm>
          <a:off x="1695450" y="3095625"/>
          <a:ext cx="1733550" cy="3333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Level, L</a:t>
          </a:r>
        </a:p>
      </xdr:txBody>
    </xdr:sp>
    <xdr:clientData/>
  </xdr:twoCellAnchor>
  <xdr:twoCellAnchor>
    <xdr:from>
      <xdr:col>1</xdr:col>
      <xdr:colOff>762000</xdr:colOff>
      <xdr:row>16</xdr:row>
      <xdr:rowOff>114300</xdr:rowOff>
    </xdr:from>
    <xdr:to>
      <xdr:col>2</xdr:col>
      <xdr:colOff>133350</xdr:colOff>
      <xdr:row>19</xdr:row>
      <xdr:rowOff>57150</xdr:rowOff>
    </xdr:to>
    <xdr:sp>
      <xdr:nvSpPr>
        <xdr:cNvPr id="2" name="Line 3"/>
        <xdr:cNvSpPr>
          <a:spLocks/>
        </xdr:cNvSpPr>
      </xdr:nvSpPr>
      <xdr:spPr>
        <a:xfrm flipH="1" flipV="1">
          <a:off x="1581150" y="2752725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19</xdr:row>
      <xdr:rowOff>133350</xdr:rowOff>
    </xdr:from>
    <xdr:to>
      <xdr:col>1</xdr:col>
      <xdr:colOff>409575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114300" y="3267075"/>
          <a:ext cx="1114425" cy="33337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Trend, T</a:t>
          </a:r>
        </a:p>
      </xdr:txBody>
    </xdr:sp>
    <xdr:clientData/>
  </xdr:twoCellAnchor>
  <xdr:twoCellAnchor>
    <xdr:from>
      <xdr:col>1</xdr:col>
      <xdr:colOff>28575</xdr:colOff>
      <xdr:row>17</xdr:row>
      <xdr:rowOff>104775</xdr:rowOff>
    </xdr:from>
    <xdr:to>
      <xdr:col>1</xdr:col>
      <xdr:colOff>504825</xdr:colOff>
      <xdr:row>19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847725" y="2905125"/>
          <a:ext cx="476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12</xdr:col>
      <xdr:colOff>333375</xdr:colOff>
      <xdr:row>86</xdr:row>
      <xdr:rowOff>38100</xdr:rowOff>
    </xdr:to>
    <xdr:graphicFrame>
      <xdr:nvGraphicFramePr>
        <xdr:cNvPr id="1" name="圖表 9"/>
        <xdr:cNvGraphicFramePr/>
      </xdr:nvGraphicFramePr>
      <xdr:xfrm>
        <a:off x="47625" y="9696450"/>
        <a:ext cx="84867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9525</xdr:rowOff>
    </xdr:from>
    <xdr:to>
      <xdr:col>12</xdr:col>
      <xdr:colOff>342900</xdr:colOff>
      <xdr:row>52</xdr:row>
      <xdr:rowOff>152400</xdr:rowOff>
    </xdr:to>
    <xdr:graphicFrame>
      <xdr:nvGraphicFramePr>
        <xdr:cNvPr id="2" name="圖表 10"/>
        <xdr:cNvGraphicFramePr/>
      </xdr:nvGraphicFramePr>
      <xdr:xfrm>
        <a:off x="19050" y="4972050"/>
        <a:ext cx="85248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38100</xdr:rowOff>
    </xdr:from>
    <xdr:to>
      <xdr:col>11</xdr:col>
      <xdr:colOff>457200</xdr:colOff>
      <xdr:row>52</xdr:row>
      <xdr:rowOff>47625</xdr:rowOff>
    </xdr:to>
    <xdr:graphicFrame>
      <xdr:nvGraphicFramePr>
        <xdr:cNvPr id="1" name="圖表 1"/>
        <xdr:cNvGraphicFramePr/>
      </xdr:nvGraphicFramePr>
      <xdr:xfrm>
        <a:off x="38100" y="4791075"/>
        <a:ext cx="76962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57150</xdr:rowOff>
    </xdr:from>
    <xdr:to>
      <xdr:col>15</xdr:col>
      <xdr:colOff>495300</xdr:colOff>
      <xdr:row>50</xdr:row>
      <xdr:rowOff>38100</xdr:rowOff>
    </xdr:to>
    <xdr:graphicFrame>
      <xdr:nvGraphicFramePr>
        <xdr:cNvPr id="1" name="圖表 1"/>
        <xdr:cNvGraphicFramePr/>
      </xdr:nvGraphicFramePr>
      <xdr:xfrm>
        <a:off x="9525" y="4552950"/>
        <a:ext cx="9286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14</xdr:col>
      <xdr:colOff>533400</xdr:colOff>
      <xdr:row>48</xdr:row>
      <xdr:rowOff>28575</xdr:rowOff>
    </xdr:to>
    <xdr:graphicFrame>
      <xdr:nvGraphicFramePr>
        <xdr:cNvPr id="1" name="圖表 1"/>
        <xdr:cNvGraphicFramePr/>
      </xdr:nvGraphicFramePr>
      <xdr:xfrm>
        <a:off x="0" y="4381500"/>
        <a:ext cx="97726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28575</xdr:rowOff>
    </xdr:from>
    <xdr:to>
      <xdr:col>16</xdr:col>
      <xdr:colOff>28575</xdr:colOff>
      <xdr:row>49</xdr:row>
      <xdr:rowOff>66675</xdr:rowOff>
    </xdr:to>
    <xdr:graphicFrame>
      <xdr:nvGraphicFramePr>
        <xdr:cNvPr id="1" name="圖表 1"/>
        <xdr:cNvGraphicFramePr/>
      </xdr:nvGraphicFramePr>
      <xdr:xfrm>
        <a:off x="66675" y="4410075"/>
        <a:ext cx="101536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20</xdr:row>
      <xdr:rowOff>19050</xdr:rowOff>
    </xdr:from>
    <xdr:to>
      <xdr:col>4</xdr:col>
      <xdr:colOff>542925</xdr:colOff>
      <xdr:row>24</xdr:row>
      <xdr:rowOff>66675</xdr:rowOff>
    </xdr:to>
    <xdr:sp>
      <xdr:nvSpPr>
        <xdr:cNvPr id="1" name="Oval 1"/>
        <xdr:cNvSpPr>
          <a:spLocks/>
        </xdr:cNvSpPr>
      </xdr:nvSpPr>
      <xdr:spPr>
        <a:xfrm>
          <a:off x="1571625" y="3314700"/>
          <a:ext cx="2000250" cy="6953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b, estimate of demand and level at t=0</a:t>
          </a:r>
        </a:p>
      </xdr:txBody>
    </xdr:sp>
    <xdr:clientData/>
  </xdr:twoCellAnchor>
  <xdr:twoCellAnchor>
    <xdr:from>
      <xdr:col>1</xdr:col>
      <xdr:colOff>695325</xdr:colOff>
      <xdr:row>16</xdr:row>
      <xdr:rowOff>66675</xdr:rowOff>
    </xdr:from>
    <xdr:to>
      <xdr:col>2</xdr:col>
      <xdr:colOff>447675</xdr:colOff>
      <xdr:row>21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304925" y="2705100"/>
          <a:ext cx="4572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</xdr:row>
      <xdr:rowOff>85725</xdr:rowOff>
    </xdr:from>
    <xdr:to>
      <xdr:col>3</xdr:col>
      <xdr:colOff>495300</xdr:colOff>
      <xdr:row>29</xdr:row>
      <xdr:rowOff>85725</xdr:rowOff>
    </xdr:to>
    <xdr:sp>
      <xdr:nvSpPr>
        <xdr:cNvPr id="3" name="Oval 3"/>
        <xdr:cNvSpPr>
          <a:spLocks/>
        </xdr:cNvSpPr>
      </xdr:nvSpPr>
      <xdr:spPr>
        <a:xfrm>
          <a:off x="723900" y="4352925"/>
          <a:ext cx="1981200" cy="48577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estimate of trend at t=0 </a:t>
          </a:r>
        </a:p>
      </xdr:txBody>
    </xdr:sp>
    <xdr:clientData/>
  </xdr:twoCellAnchor>
  <xdr:twoCellAnchor>
    <xdr:from>
      <xdr:col>1</xdr:col>
      <xdr:colOff>257175</xdr:colOff>
      <xdr:row>17</xdr:row>
      <xdr:rowOff>114300</xdr:rowOff>
    </xdr:from>
    <xdr:to>
      <xdr:col>1</xdr:col>
      <xdr:colOff>561975</xdr:colOff>
      <xdr:row>26</xdr:row>
      <xdr:rowOff>133350</xdr:rowOff>
    </xdr:to>
    <xdr:sp>
      <xdr:nvSpPr>
        <xdr:cNvPr id="4" name="Line 4"/>
        <xdr:cNvSpPr>
          <a:spLocks/>
        </xdr:cNvSpPr>
      </xdr:nvSpPr>
      <xdr:spPr>
        <a:xfrm flipH="1" flipV="1">
          <a:off x="866775" y="2914650"/>
          <a:ext cx="3048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oleObject" Target="../embeddings/oleObject_14_2.bin" /><Relationship Id="rId4" Type="http://schemas.openxmlformats.org/officeDocument/2006/relationships/oleObject" Target="../embeddings/oleObject_14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1.xml" /><Relationship Id="rId7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showGridLines="0" zoomScale="130" zoomScaleNormal="130" zoomScalePageLayoutView="0" workbookViewId="0" topLeftCell="A7">
      <selection activeCell="G15" sqref="G15"/>
    </sheetView>
  </sheetViews>
  <sheetFormatPr defaultColWidth="9.140625" defaultRowHeight="12.75"/>
  <cols>
    <col min="3" max="3" width="9.8515625" style="0" customWidth="1"/>
  </cols>
  <sheetData>
    <row r="1" spans="1:2" ht="15.75">
      <c r="A1" s="19" t="s">
        <v>84</v>
      </c>
      <c r="B1" s="19"/>
    </row>
    <row r="2" spans="1:2" ht="16.5" thickBot="1">
      <c r="A2" s="19"/>
      <c r="B2" s="19"/>
    </row>
    <row r="3" spans="1:3" ht="29.25" thickBot="1">
      <c r="A3" s="34" t="s">
        <v>41</v>
      </c>
      <c r="B3" s="35" t="s">
        <v>51</v>
      </c>
      <c r="C3" s="26" t="s">
        <v>50</v>
      </c>
    </row>
    <row r="4" spans="1:3" ht="12.75">
      <c r="A4" s="17" t="s">
        <v>134</v>
      </c>
      <c r="B4" s="18">
        <v>1</v>
      </c>
      <c r="C4" s="169">
        <v>8000</v>
      </c>
    </row>
    <row r="5" spans="1:3" ht="12.75">
      <c r="A5" s="15" t="s">
        <v>135</v>
      </c>
      <c r="B5" s="14">
        <v>2</v>
      </c>
      <c r="C5" s="170">
        <v>13000</v>
      </c>
    </row>
    <row r="6" spans="1:3" ht="12.75">
      <c r="A6" s="15" t="s">
        <v>136</v>
      </c>
      <c r="B6" s="14">
        <v>3</v>
      </c>
      <c r="C6" s="170">
        <v>23000</v>
      </c>
    </row>
    <row r="7" spans="1:3" ht="12.75">
      <c r="A7" s="15" t="s">
        <v>137</v>
      </c>
      <c r="B7" s="14">
        <v>4</v>
      </c>
      <c r="C7" s="170">
        <v>34000</v>
      </c>
    </row>
    <row r="8" spans="1:3" ht="12.75">
      <c r="A8" s="15" t="s">
        <v>138</v>
      </c>
      <c r="B8" s="14">
        <v>5</v>
      </c>
      <c r="C8" s="170">
        <v>10000</v>
      </c>
    </row>
    <row r="9" spans="1:3" ht="12.75">
      <c r="A9" s="15" t="s">
        <v>139</v>
      </c>
      <c r="B9" s="14">
        <v>6</v>
      </c>
      <c r="C9" s="170">
        <v>18000</v>
      </c>
    </row>
    <row r="10" spans="1:3" ht="12.75">
      <c r="A10" s="15" t="s">
        <v>140</v>
      </c>
      <c r="B10" s="14">
        <v>7</v>
      </c>
      <c r="C10" s="170">
        <v>23000</v>
      </c>
    </row>
    <row r="11" spans="1:3" ht="12.75">
      <c r="A11" s="46" t="s">
        <v>141</v>
      </c>
      <c r="B11" s="14">
        <v>8</v>
      </c>
      <c r="C11" s="170">
        <v>38000</v>
      </c>
    </row>
    <row r="12" spans="1:3" ht="12.75">
      <c r="A12" s="46" t="s">
        <v>142</v>
      </c>
      <c r="B12" s="14">
        <v>9</v>
      </c>
      <c r="C12" s="170">
        <v>12000</v>
      </c>
    </row>
    <row r="13" spans="1:3" ht="12.75">
      <c r="A13" s="46" t="s">
        <v>143</v>
      </c>
      <c r="B13" s="14">
        <v>10</v>
      </c>
      <c r="C13" s="170">
        <v>13000</v>
      </c>
    </row>
    <row r="14" spans="1:4" ht="13.5" thickBot="1">
      <c r="A14" s="46" t="s">
        <v>144</v>
      </c>
      <c r="B14" s="14">
        <v>11</v>
      </c>
      <c r="C14" s="170">
        <v>32000</v>
      </c>
      <c r="D14" s="276" t="s">
        <v>150</v>
      </c>
    </row>
    <row r="15" spans="1:6" ht="13.5" thickBot="1">
      <c r="A15" s="158" t="s">
        <v>145</v>
      </c>
      <c r="B15" s="159">
        <v>12</v>
      </c>
      <c r="C15" s="171">
        <v>41000</v>
      </c>
      <c r="D15" s="272"/>
      <c r="E15" s="272"/>
      <c r="F15" s="272"/>
    </row>
    <row r="16" spans="1:6" ht="12.75">
      <c r="A16" s="161" t="s">
        <v>146</v>
      </c>
      <c r="B16" s="162">
        <v>13</v>
      </c>
      <c r="C16" s="163" t="s">
        <v>98</v>
      </c>
      <c r="D16" s="273"/>
      <c r="E16" s="273"/>
      <c r="F16" s="273"/>
    </row>
    <row r="17" spans="1:6" ht="12.75">
      <c r="A17" s="164" t="s">
        <v>147</v>
      </c>
      <c r="B17" s="160">
        <v>14</v>
      </c>
      <c r="C17" s="165" t="s">
        <v>98</v>
      </c>
      <c r="D17" s="274"/>
      <c r="E17" s="274"/>
      <c r="F17" s="274"/>
    </row>
    <row r="18" spans="1:6" ht="12.75">
      <c r="A18" s="164" t="s">
        <v>148</v>
      </c>
      <c r="B18" s="160">
        <v>15</v>
      </c>
      <c r="C18" s="165" t="s">
        <v>98</v>
      </c>
      <c r="D18" s="274"/>
      <c r="E18" s="274"/>
      <c r="F18" s="274"/>
    </row>
    <row r="19" spans="1:6" ht="13.5" thickBot="1">
      <c r="A19" s="166" t="s">
        <v>149</v>
      </c>
      <c r="B19" s="167">
        <v>16</v>
      </c>
      <c r="C19" s="168" t="s">
        <v>98</v>
      </c>
      <c r="D19" s="275"/>
      <c r="E19" s="275"/>
      <c r="F19" s="275"/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L39"/>
  <sheetViews>
    <sheetView showGridLines="0" zoomScalePageLayoutView="0" workbookViewId="0" topLeftCell="A1">
      <selection activeCell="P21" sqref="P21"/>
    </sheetView>
  </sheetViews>
  <sheetFormatPr defaultColWidth="9.140625" defaultRowHeight="12.75"/>
  <cols>
    <col min="1" max="1" width="6.8515625" style="0" customWidth="1"/>
    <col min="2" max="2" width="8.28125" style="0" customWidth="1"/>
    <col min="3" max="3" width="8.00390625" style="0" bestFit="1" customWidth="1"/>
    <col min="4" max="4" width="8.8515625" style="0" customWidth="1"/>
    <col min="5" max="5" width="8.7109375" style="0" bestFit="1" customWidth="1"/>
    <col min="6" max="6" width="13.00390625" style="0" bestFit="1" customWidth="1"/>
    <col min="7" max="7" width="14.28125" style="0" customWidth="1"/>
    <col min="8" max="8" width="6.8515625" style="0" bestFit="1" customWidth="1"/>
    <col min="9" max="9" width="7.421875" style="0" bestFit="1" customWidth="1"/>
    <col min="10" max="10" width="6.8515625" style="0" customWidth="1"/>
    <col min="11" max="11" width="6.28125" style="0" bestFit="1" customWidth="1"/>
  </cols>
  <sheetData>
    <row r="1" ht="16.5" thickBot="1">
      <c r="A1" s="50" t="s">
        <v>89</v>
      </c>
    </row>
    <row r="2" spans="1:12" ht="42.75" customHeight="1" thickBot="1">
      <c r="A2" s="55" t="s">
        <v>55</v>
      </c>
      <c r="B2" s="56" t="s">
        <v>56</v>
      </c>
      <c r="C2" s="57" t="s">
        <v>57</v>
      </c>
      <c r="D2" s="57" t="s">
        <v>58</v>
      </c>
      <c r="E2" s="57" t="s">
        <v>59</v>
      </c>
      <c r="F2" s="57" t="s">
        <v>60</v>
      </c>
      <c r="G2" s="57" t="s">
        <v>61</v>
      </c>
      <c r="H2" s="58" t="s">
        <v>62</v>
      </c>
      <c r="I2" s="58" t="s">
        <v>28</v>
      </c>
      <c r="J2" s="58" t="s">
        <v>63</v>
      </c>
      <c r="K2" s="59" t="s">
        <v>64</v>
      </c>
      <c r="L2" s="42"/>
    </row>
    <row r="3" spans="1:11" ht="12.75">
      <c r="A3" s="54">
        <v>1</v>
      </c>
      <c r="B3" s="99">
        <v>8000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1" ht="12.75">
      <c r="A4" s="51">
        <v>2</v>
      </c>
      <c r="B4" s="102">
        <v>13000</v>
      </c>
      <c r="C4" s="103"/>
      <c r="D4" s="103"/>
      <c r="E4" s="103"/>
      <c r="F4" s="103"/>
      <c r="G4" s="103"/>
      <c r="H4" s="103"/>
      <c r="I4" s="103"/>
      <c r="J4" s="103"/>
      <c r="K4" s="104"/>
    </row>
    <row r="5" spans="1:11" ht="12.75">
      <c r="A5" s="51">
        <v>3</v>
      </c>
      <c r="B5" s="102">
        <v>23000</v>
      </c>
      <c r="C5" s="103"/>
      <c r="D5" s="103"/>
      <c r="E5" s="103"/>
      <c r="F5" s="103"/>
      <c r="G5" s="103"/>
      <c r="H5" s="103"/>
      <c r="I5" s="103"/>
      <c r="J5" s="103"/>
      <c r="K5" s="104"/>
    </row>
    <row r="6" spans="1:11" ht="12.75">
      <c r="A6" s="51">
        <v>4</v>
      </c>
      <c r="B6" s="102">
        <v>34000</v>
      </c>
      <c r="C6" s="103">
        <f>AVERAGE(B3:B6)</f>
        <v>19500</v>
      </c>
      <c r="D6" s="103"/>
      <c r="E6" s="103"/>
      <c r="F6" s="103"/>
      <c r="G6" s="103"/>
      <c r="H6" s="103"/>
      <c r="I6" s="103"/>
      <c r="J6" s="103"/>
      <c r="K6" s="104"/>
    </row>
    <row r="7" spans="1:11" ht="12.75">
      <c r="A7" s="51">
        <v>5</v>
      </c>
      <c r="B7" s="102">
        <v>10000</v>
      </c>
      <c r="C7" s="103">
        <f>AVERAGE(B4:B7)</f>
        <v>20000</v>
      </c>
      <c r="D7" s="103">
        <f>C6</f>
        <v>19500</v>
      </c>
      <c r="E7" s="103">
        <f>D7-B7</f>
        <v>9500</v>
      </c>
      <c r="F7" s="103">
        <f>ABS(E7)</f>
        <v>9500</v>
      </c>
      <c r="G7" s="103">
        <f>SUMSQ($F$7:F7)/(A7-4)</f>
        <v>90250000</v>
      </c>
      <c r="H7" s="103">
        <f>SUM($F$7:F7)/(A7-4)</f>
        <v>9500</v>
      </c>
      <c r="I7" s="105">
        <f>100*F7/B7</f>
        <v>95</v>
      </c>
      <c r="J7" s="103">
        <f>AVERAGE($I$7:I7)</f>
        <v>95</v>
      </c>
      <c r="K7" s="106">
        <f>SUM($E$7:E7)/H7</f>
        <v>1</v>
      </c>
    </row>
    <row r="8" spans="1:11" ht="12.75">
      <c r="A8" s="51">
        <v>6</v>
      </c>
      <c r="B8" s="102">
        <v>18000</v>
      </c>
      <c r="C8" s="103">
        <f aca="true" t="shared" si="0" ref="C8:C14">AVERAGE(B5:B8)</f>
        <v>21250</v>
      </c>
      <c r="D8" s="103">
        <f aca="true" t="shared" si="1" ref="D8:D14">C7</f>
        <v>20000</v>
      </c>
      <c r="E8" s="103">
        <f aca="true" t="shared" si="2" ref="E8:E14">D8-B8</f>
        <v>2000</v>
      </c>
      <c r="F8" s="103">
        <f aca="true" t="shared" si="3" ref="F8:F14">ABS(E8)</f>
        <v>2000</v>
      </c>
      <c r="G8" s="103">
        <f>SUMSQ($F$7:F8)/(A8-4)</f>
        <v>47125000</v>
      </c>
      <c r="H8" s="103">
        <f>SUM($F$7:F8)/(A8-4)</f>
        <v>5750</v>
      </c>
      <c r="I8" s="105">
        <f aca="true" t="shared" si="4" ref="I8:I14">100*F8/B8</f>
        <v>11.11111111111111</v>
      </c>
      <c r="J8" s="103">
        <f>AVERAGE($I$7:I8)</f>
        <v>53.05555555555556</v>
      </c>
      <c r="K8" s="106">
        <f>SUM($E$7:E8)/H8</f>
        <v>2</v>
      </c>
    </row>
    <row r="9" spans="1:11" ht="12.75">
      <c r="A9" s="51">
        <v>7</v>
      </c>
      <c r="B9" s="102">
        <v>23000</v>
      </c>
      <c r="C9" s="103">
        <f t="shared" si="0"/>
        <v>21250</v>
      </c>
      <c r="D9" s="103">
        <f t="shared" si="1"/>
        <v>21250</v>
      </c>
      <c r="E9" s="103">
        <f t="shared" si="2"/>
        <v>-1750</v>
      </c>
      <c r="F9" s="103">
        <f t="shared" si="3"/>
        <v>1750</v>
      </c>
      <c r="G9" s="103">
        <f>SUMSQ($F$7:F9)/(A9-4)</f>
        <v>32437500</v>
      </c>
      <c r="H9" s="103">
        <f>SUM($F$7:F9)/(A9-4)</f>
        <v>4416.666666666667</v>
      </c>
      <c r="I9" s="105">
        <f t="shared" si="4"/>
        <v>7.608695652173913</v>
      </c>
      <c r="J9" s="103">
        <f>AVERAGE($I$7:I9)</f>
        <v>37.90660225442834</v>
      </c>
      <c r="K9" s="106">
        <f>SUM($E$7:E9)/H9</f>
        <v>2.2075471698113205</v>
      </c>
    </row>
    <row r="10" spans="1:11" ht="12.75">
      <c r="A10" s="51">
        <v>8</v>
      </c>
      <c r="B10" s="102">
        <v>38000</v>
      </c>
      <c r="C10" s="103">
        <f t="shared" si="0"/>
        <v>22250</v>
      </c>
      <c r="D10" s="103">
        <f t="shared" si="1"/>
        <v>21250</v>
      </c>
      <c r="E10" s="103">
        <f t="shared" si="2"/>
        <v>-16750</v>
      </c>
      <c r="F10" s="103">
        <f t="shared" si="3"/>
        <v>16750</v>
      </c>
      <c r="G10" s="103">
        <f>SUMSQ($F$7:F10)/(A10-4)</f>
        <v>94468750</v>
      </c>
      <c r="H10" s="103">
        <f>SUM($F$7:F10)/(A10-4)</f>
        <v>7500</v>
      </c>
      <c r="I10" s="105">
        <f t="shared" si="4"/>
        <v>44.078947368421055</v>
      </c>
      <c r="J10" s="103">
        <f>AVERAGE($I$7:I10)</f>
        <v>39.449688532926515</v>
      </c>
      <c r="K10" s="106">
        <f>SUM($E$7:E10)/H10</f>
        <v>-0.9333333333333333</v>
      </c>
    </row>
    <row r="11" spans="1:11" ht="12.75">
      <c r="A11" s="51">
        <v>9</v>
      </c>
      <c r="B11" s="102">
        <v>12000</v>
      </c>
      <c r="C11" s="103">
        <f t="shared" si="0"/>
        <v>22750</v>
      </c>
      <c r="D11" s="103">
        <f t="shared" si="1"/>
        <v>22250</v>
      </c>
      <c r="E11" s="103">
        <f t="shared" si="2"/>
        <v>10250</v>
      </c>
      <c r="F11" s="103">
        <f t="shared" si="3"/>
        <v>10250</v>
      </c>
      <c r="G11" s="103">
        <f>SUMSQ($F$7:F11)/(A11-4)</f>
        <v>96587500</v>
      </c>
      <c r="H11" s="103">
        <f>SUM($F$7:F11)/(A11-4)</f>
        <v>8050</v>
      </c>
      <c r="I11" s="105">
        <f t="shared" si="4"/>
        <v>85.41666666666667</v>
      </c>
      <c r="J11" s="103">
        <f>AVERAGE($I$7:I11)</f>
        <v>48.64308415967455</v>
      </c>
      <c r="K11" s="106">
        <f>SUM($E$7:E11)/H11</f>
        <v>0.40372670807453415</v>
      </c>
    </row>
    <row r="12" spans="1:11" ht="12.75">
      <c r="A12" s="51">
        <v>10</v>
      </c>
      <c r="B12" s="102">
        <v>13000</v>
      </c>
      <c r="C12" s="103">
        <f t="shared" si="0"/>
        <v>21500</v>
      </c>
      <c r="D12" s="103">
        <f t="shared" si="1"/>
        <v>22750</v>
      </c>
      <c r="E12" s="103">
        <f t="shared" si="2"/>
        <v>9750</v>
      </c>
      <c r="F12" s="103">
        <f t="shared" si="3"/>
        <v>9750</v>
      </c>
      <c r="G12" s="103">
        <f>SUMSQ($F$7:F12)/(A12-4)</f>
        <v>96333333.33333333</v>
      </c>
      <c r="H12" s="103">
        <f>SUM($F$7:F12)/(A12-4)</f>
        <v>8333.333333333334</v>
      </c>
      <c r="I12" s="105">
        <f t="shared" si="4"/>
        <v>75</v>
      </c>
      <c r="J12" s="103">
        <f>AVERAGE($I$7:I12)</f>
        <v>53.03590346639546</v>
      </c>
      <c r="K12" s="106">
        <f>SUM($E$7:E12)/H12</f>
        <v>1.5599999999999998</v>
      </c>
    </row>
    <row r="13" spans="1:11" ht="12.75">
      <c r="A13" s="51">
        <v>11</v>
      </c>
      <c r="B13" s="102">
        <v>32000</v>
      </c>
      <c r="C13" s="103">
        <f t="shared" si="0"/>
        <v>23750</v>
      </c>
      <c r="D13" s="103">
        <f t="shared" si="1"/>
        <v>21500</v>
      </c>
      <c r="E13" s="103">
        <f t="shared" si="2"/>
        <v>-10500</v>
      </c>
      <c r="F13" s="103">
        <f t="shared" si="3"/>
        <v>10500</v>
      </c>
      <c r="G13" s="103">
        <f>SUMSQ($F$7:F13)/(A13-4)</f>
        <v>98321428.57142857</v>
      </c>
      <c r="H13" s="103">
        <f>SUM($F$7:F13)/(A13-4)</f>
        <v>8642.857142857143</v>
      </c>
      <c r="I13" s="105">
        <f t="shared" si="4"/>
        <v>32.8125</v>
      </c>
      <c r="J13" s="103">
        <f>AVERAGE($I$7:I13)</f>
        <v>50.14684582833896</v>
      </c>
      <c r="K13" s="106">
        <f>SUM($E$7:E13)/H13</f>
        <v>0.2892561983471074</v>
      </c>
    </row>
    <row r="14" spans="1:11" ht="13.5" thickBot="1">
      <c r="A14" s="51">
        <v>12</v>
      </c>
      <c r="B14" s="107">
        <v>41000</v>
      </c>
      <c r="C14" s="108">
        <f t="shared" si="0"/>
        <v>24500</v>
      </c>
      <c r="D14" s="108">
        <f t="shared" si="1"/>
        <v>23750</v>
      </c>
      <c r="E14" s="108">
        <f t="shared" si="2"/>
        <v>-17250</v>
      </c>
      <c r="F14" s="108">
        <f t="shared" si="3"/>
        <v>17250</v>
      </c>
      <c r="G14" s="108">
        <f>SUMSQ($F$7:F14)/(A14-4)</f>
        <v>123226562.5</v>
      </c>
      <c r="H14" s="108">
        <f>SUM($F$7:F14)/(A14-4)</f>
        <v>9718.75</v>
      </c>
      <c r="I14" s="109">
        <f t="shared" si="4"/>
        <v>42.073170731707314</v>
      </c>
      <c r="J14" s="108">
        <f>AVERAGE($I$7:I14)</f>
        <v>49.13763644126001</v>
      </c>
      <c r="K14" s="110">
        <f>SUM($E$7:E14)/H14</f>
        <v>-1.517684887459807</v>
      </c>
    </row>
    <row r="15" spans="1:11" ht="12.75">
      <c r="A15" s="14">
        <v>13</v>
      </c>
      <c r="B15" s="33"/>
      <c r="C15" s="33"/>
      <c r="D15" s="111">
        <f>C14</f>
        <v>24500</v>
      </c>
      <c r="E15" s="33"/>
      <c r="F15" s="33"/>
      <c r="G15" s="33"/>
      <c r="H15" s="33"/>
      <c r="I15" s="33"/>
      <c r="J15" s="33"/>
      <c r="K15" s="52"/>
    </row>
    <row r="16" spans="1:11" ht="12.75">
      <c r="A16" s="47">
        <v>14</v>
      </c>
      <c r="B16" s="31"/>
      <c r="C16" s="31"/>
      <c r="D16" s="112">
        <f>$C$14</f>
        <v>24500</v>
      </c>
      <c r="E16" s="31"/>
      <c r="F16" s="31"/>
      <c r="G16" s="31"/>
      <c r="H16" s="31"/>
      <c r="I16" s="31"/>
      <c r="J16" s="31"/>
      <c r="K16" s="40"/>
    </row>
    <row r="17" spans="1:11" ht="12.75">
      <c r="A17" s="47">
        <v>15</v>
      </c>
      <c r="B17" s="31"/>
      <c r="C17" s="31"/>
      <c r="D17" s="112">
        <f>$C$14</f>
        <v>24500</v>
      </c>
      <c r="E17" s="31"/>
      <c r="F17" s="31"/>
      <c r="G17" s="31"/>
      <c r="H17" s="31"/>
      <c r="I17" s="31"/>
      <c r="J17" s="31"/>
      <c r="K17" s="40"/>
    </row>
    <row r="18" spans="1:11" ht="13.5" thickBot="1">
      <c r="A18" s="49">
        <v>16</v>
      </c>
      <c r="B18" s="44"/>
      <c r="C18" s="44"/>
      <c r="D18" s="113">
        <f>$C$14</f>
        <v>24500</v>
      </c>
      <c r="E18" s="44"/>
      <c r="F18" s="44"/>
      <c r="G18" s="44"/>
      <c r="H18" s="44"/>
      <c r="I18" s="44"/>
      <c r="J18" s="44"/>
      <c r="K18" s="53"/>
    </row>
    <row r="20" spans="3:4" ht="12.75">
      <c r="C20" s="5"/>
      <c r="D20" s="6"/>
    </row>
    <row r="21" spans="3:4" ht="12.75">
      <c r="C21" s="5"/>
      <c r="D21" s="6"/>
    </row>
    <row r="22" spans="3:4" ht="12.75">
      <c r="C22" s="5"/>
      <c r="D22" s="6"/>
    </row>
    <row r="23" spans="3:4" ht="12.75">
      <c r="C23" s="5"/>
      <c r="D23" s="6"/>
    </row>
    <row r="24" spans="3:4" ht="12.75">
      <c r="C24" s="5"/>
      <c r="D24" s="6"/>
    </row>
    <row r="25" spans="3:4" ht="12.75">
      <c r="C25" s="5"/>
      <c r="D25" s="6"/>
    </row>
    <row r="26" spans="3:4" ht="12.75">
      <c r="C26" s="5"/>
      <c r="D26" s="6"/>
    </row>
    <row r="27" spans="3:4" ht="12.75">
      <c r="C27" s="5"/>
      <c r="D27" s="6"/>
    </row>
    <row r="28" spans="3:4" ht="12.75">
      <c r="C28" s="5"/>
      <c r="D28" s="6"/>
    </row>
    <row r="29" spans="3:4" ht="12.75">
      <c r="C29" s="5"/>
      <c r="D29" s="6"/>
    </row>
    <row r="30" spans="3:4" ht="12.75">
      <c r="C30" s="5"/>
      <c r="D30" s="6"/>
    </row>
    <row r="31" spans="3:4" ht="12.75">
      <c r="C31" s="5"/>
      <c r="D31" s="6"/>
    </row>
    <row r="32" spans="2:3" ht="12.75">
      <c r="B32" s="5"/>
      <c r="C32" s="5"/>
    </row>
    <row r="36" ht="12.75">
      <c r="C36" s="5"/>
    </row>
    <row r="37" ht="12.75">
      <c r="C37" s="5"/>
    </row>
    <row r="38" ht="12.75">
      <c r="C38" s="5"/>
    </row>
    <row r="39" ht="12.75">
      <c r="C39" s="5"/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K40"/>
  <sheetViews>
    <sheetView showGridLines="0" zoomScalePageLayoutView="0" workbookViewId="0" topLeftCell="A43">
      <selection activeCell="C3" sqref="C3"/>
    </sheetView>
  </sheetViews>
  <sheetFormatPr defaultColWidth="9.140625" defaultRowHeight="12.75"/>
  <cols>
    <col min="2" max="2" width="9.421875" style="0" customWidth="1"/>
    <col min="4" max="4" width="10.140625" style="0" customWidth="1"/>
    <col min="6" max="6" width="14.421875" style="0" customWidth="1"/>
    <col min="7" max="7" width="22.00390625" style="0" customWidth="1"/>
    <col min="8" max="8" width="7.00390625" style="0" customWidth="1"/>
    <col min="9" max="9" width="7.57421875" style="0" customWidth="1"/>
    <col min="10" max="10" width="7.8515625" style="0" customWidth="1"/>
    <col min="11" max="11" width="5.28125" style="0" customWidth="1"/>
  </cols>
  <sheetData>
    <row r="1" ht="16.5" thickBot="1">
      <c r="A1" s="50" t="s">
        <v>90</v>
      </c>
    </row>
    <row r="2" spans="1:11" ht="29.25" thickBot="1">
      <c r="A2" s="55" t="s">
        <v>24</v>
      </c>
      <c r="B2" s="56" t="s">
        <v>29</v>
      </c>
      <c r="C2" s="57" t="s">
        <v>31</v>
      </c>
      <c r="D2" s="57" t="s">
        <v>32</v>
      </c>
      <c r="E2" s="57" t="s">
        <v>33</v>
      </c>
      <c r="F2" s="57" t="s">
        <v>34</v>
      </c>
      <c r="G2" s="57" t="s">
        <v>35</v>
      </c>
      <c r="H2" s="58" t="s">
        <v>36</v>
      </c>
      <c r="I2" s="58" t="s">
        <v>28</v>
      </c>
      <c r="J2" s="58" t="s">
        <v>37</v>
      </c>
      <c r="K2" s="59" t="s">
        <v>38</v>
      </c>
    </row>
    <row r="3" spans="1:11" ht="12.75">
      <c r="A3" s="120">
        <v>0</v>
      </c>
      <c r="B3" s="121"/>
      <c r="C3" s="122">
        <f>AVERAGE(B4:B15)</f>
        <v>22083.333333333332</v>
      </c>
      <c r="D3" s="122"/>
      <c r="E3" s="122"/>
      <c r="F3" s="122"/>
      <c r="G3" s="122"/>
      <c r="H3" s="122"/>
      <c r="I3" s="122"/>
      <c r="J3" s="122"/>
      <c r="K3" s="123"/>
    </row>
    <row r="4" spans="1:11" ht="12.75">
      <c r="A4" s="124">
        <v>1</v>
      </c>
      <c r="B4" s="102">
        <v>8000</v>
      </c>
      <c r="C4" s="103">
        <f aca="true" t="shared" si="0" ref="C4:C15">$B$21*B4+(1-$B$21)*C3</f>
        <v>20675</v>
      </c>
      <c r="D4" s="103">
        <f>C3</f>
        <v>22083.333333333332</v>
      </c>
      <c r="E4" s="103">
        <f>D4-B4</f>
        <v>14083.333333333332</v>
      </c>
      <c r="F4" s="103">
        <f>ABS(E4)</f>
        <v>14083.333333333332</v>
      </c>
      <c r="G4" s="103">
        <f>SUMSQ($E$4:E4)/A4</f>
        <v>198340277.77777773</v>
      </c>
      <c r="H4" s="103">
        <f>SUM($F$4:F4)/A4</f>
        <v>14083.333333333332</v>
      </c>
      <c r="I4" s="103">
        <f>F4*100/B4</f>
        <v>176.04166666666666</v>
      </c>
      <c r="J4" s="103">
        <f>AVERAGE($I$4:I4)</f>
        <v>176.04166666666666</v>
      </c>
      <c r="K4" s="106">
        <f>SUM($E$4:E4)/H4</f>
        <v>1</v>
      </c>
    </row>
    <row r="5" spans="1:11" ht="12.75">
      <c r="A5" s="124">
        <v>2</v>
      </c>
      <c r="B5" s="102">
        <v>13000</v>
      </c>
      <c r="C5" s="103">
        <f t="shared" si="0"/>
        <v>19907.5</v>
      </c>
      <c r="D5" s="103">
        <f>C4</f>
        <v>20675</v>
      </c>
      <c r="E5" s="103">
        <f>D5-B5</f>
        <v>7675</v>
      </c>
      <c r="F5" s="103">
        <f>ABS(E5)</f>
        <v>7675</v>
      </c>
      <c r="G5" s="103">
        <f>SUMSQ($E$4:E5)/A5</f>
        <v>128622951.38888887</v>
      </c>
      <c r="H5" s="103">
        <f>SUM($F$4:F5)/A5</f>
        <v>10879.166666666666</v>
      </c>
      <c r="I5" s="103">
        <f aca="true" t="shared" si="1" ref="I5:I15">F5*100/B5</f>
        <v>59.03846153846154</v>
      </c>
      <c r="J5" s="103">
        <f>AVERAGE($I$4:I5)</f>
        <v>117.5400641025641</v>
      </c>
      <c r="K5" s="106">
        <f>SUM($E$4:E5)/H5</f>
        <v>2</v>
      </c>
    </row>
    <row r="6" spans="1:11" ht="12.75">
      <c r="A6" s="124">
        <v>3</v>
      </c>
      <c r="B6" s="102">
        <v>23000</v>
      </c>
      <c r="C6" s="103">
        <f t="shared" si="0"/>
        <v>20216.75</v>
      </c>
      <c r="D6" s="103">
        <f>C5</f>
        <v>19907.5</v>
      </c>
      <c r="E6" s="103">
        <f>D6-B6</f>
        <v>-3092.5</v>
      </c>
      <c r="F6" s="103">
        <f>ABS(E6)</f>
        <v>3092.5</v>
      </c>
      <c r="G6" s="103">
        <f>SUMSQ($E$4:E6)/A6</f>
        <v>88936486.34259258</v>
      </c>
      <c r="H6" s="103">
        <f>SUM($F$4:F6)/A6</f>
        <v>8283.611111111111</v>
      </c>
      <c r="I6" s="103">
        <f t="shared" si="1"/>
        <v>13.445652173913043</v>
      </c>
      <c r="J6" s="103">
        <f>AVERAGE($I$4:I6)</f>
        <v>82.84192679301374</v>
      </c>
      <c r="K6" s="106">
        <f>SUM($E$4:E6)/H6</f>
        <v>2.2533449582508966</v>
      </c>
    </row>
    <row r="7" spans="1:11" ht="12.75">
      <c r="A7" s="124">
        <v>4</v>
      </c>
      <c r="B7" s="102">
        <v>34000</v>
      </c>
      <c r="C7" s="103">
        <f t="shared" si="0"/>
        <v>21595.075</v>
      </c>
      <c r="D7" s="103">
        <f>C6</f>
        <v>20216.75</v>
      </c>
      <c r="E7" s="103">
        <f>D7-B7</f>
        <v>-13783.25</v>
      </c>
      <c r="F7" s="103">
        <f>ABS(E7)</f>
        <v>13783.25</v>
      </c>
      <c r="G7" s="103">
        <f>SUMSQ($E$4:E7)/A7</f>
        <v>114196859.89756943</v>
      </c>
      <c r="H7" s="103">
        <f>SUM($F$4:F7)/A7</f>
        <v>9658.520833333332</v>
      </c>
      <c r="I7" s="105">
        <f t="shared" si="1"/>
        <v>40.538970588235294</v>
      </c>
      <c r="J7" s="103">
        <f>AVERAGE($I$4:I7)</f>
        <v>72.26618774181914</v>
      </c>
      <c r="K7" s="106">
        <f>SUM($E$4:E7)/H7</f>
        <v>0.5055208160324756</v>
      </c>
    </row>
    <row r="8" spans="1:11" ht="12.75">
      <c r="A8" s="124">
        <v>5</v>
      </c>
      <c r="B8" s="102">
        <v>10000</v>
      </c>
      <c r="C8" s="103">
        <f t="shared" si="0"/>
        <v>20435.5675</v>
      </c>
      <c r="D8" s="103">
        <f aca="true" t="shared" si="2" ref="D8:D15">C7</f>
        <v>21595.075</v>
      </c>
      <c r="E8" s="103">
        <f aca="true" t="shared" si="3" ref="E8:E15">D8-B8</f>
        <v>11595.075</v>
      </c>
      <c r="F8" s="103">
        <f aca="true" t="shared" si="4" ref="F8:F15">ABS(E8)</f>
        <v>11595.075</v>
      </c>
      <c r="G8" s="103">
        <f>SUMSQ($E$4:E8)/A8</f>
        <v>118246640.76918054</v>
      </c>
      <c r="H8" s="103">
        <f>SUM($F$4:F8)/A8</f>
        <v>10045.831666666665</v>
      </c>
      <c r="I8" s="105">
        <f t="shared" si="1"/>
        <v>115.95075</v>
      </c>
      <c r="J8" s="103">
        <f>AVERAGE($I$4:I8)</f>
        <v>81.00310019345531</v>
      </c>
      <c r="K8" s="106">
        <f>SUM($E$4:E8)/H8</f>
        <v>1.6402483019905936</v>
      </c>
    </row>
    <row r="9" spans="1:11" ht="12.75">
      <c r="A9" s="124">
        <v>6</v>
      </c>
      <c r="B9" s="102">
        <v>18000</v>
      </c>
      <c r="C9" s="103">
        <f t="shared" si="0"/>
        <v>20192.01075</v>
      </c>
      <c r="D9" s="103">
        <f t="shared" si="2"/>
        <v>20435.5675</v>
      </c>
      <c r="E9" s="103">
        <f t="shared" si="3"/>
        <v>2435.567500000001</v>
      </c>
      <c r="F9" s="103">
        <f t="shared" si="4"/>
        <v>2435.567500000001</v>
      </c>
      <c r="G9" s="103">
        <f>SUMSQ($E$4:E9)/A9</f>
        <v>99527532.14882648</v>
      </c>
      <c r="H9" s="103">
        <f>SUM($F$4:F9)/A9</f>
        <v>8777.454305555555</v>
      </c>
      <c r="I9" s="105">
        <f t="shared" si="1"/>
        <v>13.530930555555562</v>
      </c>
      <c r="J9" s="103">
        <f>AVERAGE($I$4:I9)</f>
        <v>69.75773858713869</v>
      </c>
      <c r="K9" s="106">
        <f>SUM($E$4:E9)/H9</f>
        <v>2.154750702759284</v>
      </c>
    </row>
    <row r="10" spans="1:11" ht="12.75">
      <c r="A10" s="124">
        <v>7</v>
      </c>
      <c r="B10" s="102">
        <v>23000</v>
      </c>
      <c r="C10" s="103">
        <f t="shared" si="0"/>
        <v>20472.809675</v>
      </c>
      <c r="D10" s="103">
        <f t="shared" si="2"/>
        <v>20192.01075</v>
      </c>
      <c r="E10" s="103">
        <f t="shared" si="3"/>
        <v>-2807.9892499999987</v>
      </c>
      <c r="F10" s="103">
        <f t="shared" si="4"/>
        <v>2807.9892499999987</v>
      </c>
      <c r="G10" s="103">
        <f>SUMSQ($E$4:E10)/A10</f>
        <v>86435713.78872491</v>
      </c>
      <c r="H10" s="103">
        <f>SUM($F$4:F10)/A10</f>
        <v>7924.673583333332</v>
      </c>
      <c r="I10" s="105">
        <f t="shared" si="1"/>
        <v>12.208648913043472</v>
      </c>
      <c r="J10" s="103">
        <f>AVERAGE($I$4:I10)</f>
        <v>61.53644006226795</v>
      </c>
      <c r="K10" s="106">
        <f>SUM($E$4:E10)/H10</f>
        <v>2.0322902153603954</v>
      </c>
    </row>
    <row r="11" spans="1:11" ht="12.75">
      <c r="A11" s="124">
        <v>8</v>
      </c>
      <c r="B11" s="102">
        <v>38000</v>
      </c>
      <c r="C11" s="103">
        <f t="shared" si="0"/>
        <v>22225.5287075</v>
      </c>
      <c r="D11" s="103">
        <f t="shared" si="2"/>
        <v>20472.809675</v>
      </c>
      <c r="E11" s="103">
        <f t="shared" si="3"/>
        <v>-17527.190325</v>
      </c>
      <c r="F11" s="103">
        <f t="shared" si="4"/>
        <v>17527.190325</v>
      </c>
      <c r="G11" s="103">
        <f>SUMSQ($E$4:E11)/A11</f>
        <v>114031549.65123099</v>
      </c>
      <c r="H11" s="103">
        <f>SUM($F$4:F11)/A11</f>
        <v>9124.988176041667</v>
      </c>
      <c r="I11" s="105">
        <f t="shared" si="1"/>
        <v>46.124185065789476</v>
      </c>
      <c r="J11" s="103">
        <f>AVERAGE($I$4:I11)</f>
        <v>59.60990818770814</v>
      </c>
      <c r="K11" s="106">
        <f>SUM($E$4:E11)/H11</f>
        <v>-0.15583074895374763</v>
      </c>
    </row>
    <row r="12" spans="1:11" ht="12.75">
      <c r="A12" s="124">
        <v>9</v>
      </c>
      <c r="B12" s="102">
        <v>12000</v>
      </c>
      <c r="C12" s="103">
        <f t="shared" si="0"/>
        <v>21202.975836750004</v>
      </c>
      <c r="D12" s="103">
        <f t="shared" si="2"/>
        <v>22225.5287075</v>
      </c>
      <c r="E12" s="103">
        <f t="shared" si="3"/>
        <v>10225.528707500001</v>
      </c>
      <c r="F12" s="103">
        <f t="shared" si="4"/>
        <v>10225.528707500001</v>
      </c>
      <c r="G12" s="103">
        <f>SUMSQ($E$4:E12)/A12</f>
        <v>112979314.95086162</v>
      </c>
      <c r="H12" s="103">
        <f>SUM($F$4:F12)/A12</f>
        <v>9247.270457314815</v>
      </c>
      <c r="I12" s="105">
        <f t="shared" si="1"/>
        <v>85.21273922916667</v>
      </c>
      <c r="J12" s="103">
        <f>AVERAGE($I$4:I12)</f>
        <v>62.454667192314645</v>
      </c>
      <c r="K12" s="106">
        <f>SUM($E$4:E12)/H12</f>
        <v>0.9520187612626271</v>
      </c>
    </row>
    <row r="13" spans="1:11" ht="12.75">
      <c r="A13" s="124">
        <v>10</v>
      </c>
      <c r="B13" s="102">
        <v>13000</v>
      </c>
      <c r="C13" s="103">
        <f t="shared" si="0"/>
        <v>20382.678253075002</v>
      </c>
      <c r="D13" s="103">
        <f t="shared" si="2"/>
        <v>21202.975836750004</v>
      </c>
      <c r="E13" s="103">
        <f t="shared" si="3"/>
        <v>8202.975836750004</v>
      </c>
      <c r="F13" s="103">
        <f t="shared" si="4"/>
        <v>8202.975836750004</v>
      </c>
      <c r="G13" s="103">
        <f>SUMSQ($E$4:E13)/A13</f>
        <v>108410264.71360591</v>
      </c>
      <c r="H13" s="103">
        <f>SUM($F$4:F13)/A13</f>
        <v>9142.840995258335</v>
      </c>
      <c r="I13" s="105">
        <f t="shared" si="1"/>
        <v>63.099814128846184</v>
      </c>
      <c r="J13" s="103">
        <f>AVERAGE($I$4:I13)</f>
        <v>62.519181885967804</v>
      </c>
      <c r="K13" s="106">
        <f>SUM($E$4:E13)/H13</f>
        <v>1.860094779227079</v>
      </c>
    </row>
    <row r="14" spans="1:11" s="61" customFormat="1" ht="12.75">
      <c r="A14" s="124">
        <v>11</v>
      </c>
      <c r="B14" s="102">
        <v>32000</v>
      </c>
      <c r="C14" s="103">
        <f t="shared" si="0"/>
        <v>21544.410427767503</v>
      </c>
      <c r="D14" s="103">
        <f t="shared" si="2"/>
        <v>20382.678253075002</v>
      </c>
      <c r="E14" s="103">
        <f t="shared" si="3"/>
        <v>-11617.321746924998</v>
      </c>
      <c r="F14" s="103">
        <f t="shared" si="4"/>
        <v>11617.321746924998</v>
      </c>
      <c r="G14" s="103">
        <f>SUMSQ($E$4:E14)/A14</f>
        <v>110824073.79160322</v>
      </c>
      <c r="H14" s="103">
        <f>SUM($F$4:F14)/A14</f>
        <v>9367.793790864394</v>
      </c>
      <c r="I14" s="105">
        <f t="shared" si="1"/>
        <v>36.304130459140616</v>
      </c>
      <c r="J14" s="103">
        <f>AVERAGE($I$4:I14)</f>
        <v>60.13599539261988</v>
      </c>
      <c r="K14" s="106">
        <f>SUM($E$4:E14)/H14</f>
        <v>0.5752933055501281</v>
      </c>
    </row>
    <row r="15" spans="1:11" ht="13.5" thickBot="1">
      <c r="A15" s="91">
        <v>12</v>
      </c>
      <c r="B15" s="114">
        <v>41000</v>
      </c>
      <c r="C15" s="115">
        <f t="shared" si="0"/>
        <v>23489.969384990753</v>
      </c>
      <c r="D15" s="115">
        <f t="shared" si="2"/>
        <v>21544.410427767503</v>
      </c>
      <c r="E15" s="115">
        <f t="shared" si="3"/>
        <v>-19455.589572232497</v>
      </c>
      <c r="F15" s="115">
        <f t="shared" si="4"/>
        <v>19455.589572232497</v>
      </c>
      <c r="G15" s="115">
        <f>SUMSQ($E$4:E15)/A15</f>
        <v>133132064.77589977</v>
      </c>
      <c r="H15" s="115">
        <f>SUM($F$4:F15)/A15</f>
        <v>10208.443439311735</v>
      </c>
      <c r="I15" s="116">
        <f t="shared" si="1"/>
        <v>47.45265749324999</v>
      </c>
      <c r="J15" s="115">
        <f>AVERAGE($I$4:I15)</f>
        <v>59.07905056767239</v>
      </c>
      <c r="K15" s="117">
        <f>SUM($E$4:E15)/H15</f>
        <v>-1.3779143314254894</v>
      </c>
    </row>
    <row r="16" spans="1:11" ht="12.75">
      <c r="A16" s="118">
        <v>13</v>
      </c>
      <c r="B16" s="33"/>
      <c r="C16" s="33"/>
      <c r="D16" s="24">
        <f>$C$15</f>
        <v>23489.969384990753</v>
      </c>
      <c r="E16" s="33"/>
      <c r="F16" s="33"/>
      <c r="G16" s="119">
        <f>SQRT(G15)</f>
        <v>11538.286908198277</v>
      </c>
      <c r="H16" s="33">
        <f>1.25*H15</f>
        <v>12760.554299139669</v>
      </c>
      <c r="I16" s="33"/>
      <c r="J16" s="33"/>
      <c r="K16" s="52"/>
    </row>
    <row r="17" spans="1:11" ht="12.75">
      <c r="A17" s="47">
        <v>14</v>
      </c>
      <c r="B17" s="31"/>
      <c r="C17" s="31"/>
      <c r="D17" s="20">
        <f>$C$15</f>
        <v>23489.969384990753</v>
      </c>
      <c r="E17" s="31"/>
      <c r="F17" s="31"/>
      <c r="G17" s="31"/>
      <c r="H17" s="31"/>
      <c r="I17" s="31"/>
      <c r="J17" s="31"/>
      <c r="K17" s="40"/>
    </row>
    <row r="18" spans="1:11" s="61" customFormat="1" ht="12.75">
      <c r="A18" s="47">
        <v>15</v>
      </c>
      <c r="B18" s="31"/>
      <c r="C18" s="31"/>
      <c r="D18" s="20">
        <f>$C$15</f>
        <v>23489.969384990753</v>
      </c>
      <c r="E18" s="31"/>
      <c r="F18" s="31"/>
      <c r="G18" s="31"/>
      <c r="H18" s="31"/>
      <c r="I18" s="31"/>
      <c r="J18" s="31"/>
      <c r="K18" s="40"/>
    </row>
    <row r="19" spans="1:11" ht="13.5" thickBot="1">
      <c r="A19" s="62">
        <v>16</v>
      </c>
      <c r="B19" s="63"/>
      <c r="C19" s="63"/>
      <c r="D19" s="64">
        <f>$C$15</f>
        <v>23489.969384990753</v>
      </c>
      <c r="E19" s="63"/>
      <c r="F19" s="63"/>
      <c r="G19" s="63"/>
      <c r="H19" s="63"/>
      <c r="I19" s="63"/>
      <c r="J19" s="63"/>
      <c r="K19" s="65"/>
    </row>
    <row r="20" ht="7.5" customHeight="1" thickBot="1"/>
    <row r="21" spans="1:4" ht="21" thickBot="1">
      <c r="A21" s="133" t="s">
        <v>25</v>
      </c>
      <c r="B21" s="134">
        <v>0.1</v>
      </c>
      <c r="C21" s="5"/>
      <c r="D21" s="6"/>
    </row>
    <row r="22" spans="3:4" ht="12.75">
      <c r="C22" s="5"/>
      <c r="D22" s="6"/>
    </row>
    <row r="23" spans="3:4" ht="12.75">
      <c r="C23" s="5"/>
      <c r="D23" s="6"/>
    </row>
    <row r="24" spans="3:4" ht="12.75">
      <c r="C24" s="5"/>
      <c r="D24" s="6"/>
    </row>
    <row r="25" spans="3:4" ht="12.75">
      <c r="C25" s="5"/>
      <c r="D25" s="6"/>
    </row>
    <row r="26" spans="3:4" ht="12.75">
      <c r="C26" s="5"/>
      <c r="D26" s="6"/>
    </row>
    <row r="27" spans="3:4" ht="12.75">
      <c r="C27" s="5"/>
      <c r="D27" s="6"/>
    </row>
    <row r="28" spans="3:4" ht="12.75">
      <c r="C28" s="5"/>
      <c r="D28" s="6"/>
    </row>
    <row r="29" spans="3:4" ht="12.75">
      <c r="C29" s="5"/>
      <c r="D29" s="6"/>
    </row>
    <row r="30" spans="3:4" ht="12.75">
      <c r="C30" s="5"/>
      <c r="D30" s="6"/>
    </row>
    <row r="31" spans="3:4" ht="12.75">
      <c r="C31" s="5"/>
      <c r="D31" s="6"/>
    </row>
    <row r="32" spans="3:4" ht="12.75">
      <c r="C32" s="5"/>
      <c r="D32" s="6"/>
    </row>
    <row r="33" spans="2:3" ht="12.75">
      <c r="B33" s="5"/>
      <c r="C33" s="5"/>
    </row>
    <row r="37" ht="12.75">
      <c r="C37" s="5"/>
    </row>
    <row r="38" ht="12.75">
      <c r="C38" s="5"/>
    </row>
    <row r="39" ht="12.75">
      <c r="C39" s="5"/>
    </row>
    <row r="40" ht="12.75">
      <c r="C40" s="5"/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L40"/>
  <sheetViews>
    <sheetView showGridLines="0" zoomScalePageLayoutView="0" workbookViewId="0" topLeftCell="A1">
      <selection activeCell="N15" sqref="N15"/>
    </sheetView>
  </sheetViews>
  <sheetFormatPr defaultColWidth="9.140625" defaultRowHeight="12.75"/>
  <cols>
    <col min="1" max="1" width="8.140625" style="0" customWidth="1"/>
    <col min="2" max="2" width="9.8515625" style="0" customWidth="1"/>
    <col min="3" max="3" width="7.8515625" style="0" customWidth="1"/>
    <col min="4" max="4" width="7.140625" style="0" customWidth="1"/>
    <col min="5" max="5" width="10.140625" style="0" customWidth="1"/>
    <col min="6" max="6" width="8.140625" style="0" customWidth="1"/>
    <col min="7" max="7" width="14.421875" style="0" customWidth="1"/>
    <col min="8" max="8" width="24.00390625" style="0" customWidth="1"/>
    <col min="9" max="9" width="6.7109375" style="0" customWidth="1"/>
    <col min="10" max="10" width="7.00390625" style="0" customWidth="1"/>
    <col min="11" max="11" width="7.421875" style="0" customWidth="1"/>
    <col min="12" max="12" width="5.421875" style="0" customWidth="1"/>
  </cols>
  <sheetData>
    <row r="1" ht="16.5" thickBot="1">
      <c r="A1" s="50" t="s">
        <v>65</v>
      </c>
    </row>
    <row r="2" spans="1:12" ht="29.25" thickBot="1">
      <c r="A2" s="55" t="s">
        <v>24</v>
      </c>
      <c r="B2" s="56" t="s">
        <v>29</v>
      </c>
      <c r="C2" s="57" t="s">
        <v>31</v>
      </c>
      <c r="D2" s="57" t="s">
        <v>39</v>
      </c>
      <c r="E2" s="57" t="s">
        <v>32</v>
      </c>
      <c r="F2" s="57" t="s">
        <v>33</v>
      </c>
      <c r="G2" s="57" t="s">
        <v>34</v>
      </c>
      <c r="H2" s="58" t="s">
        <v>35</v>
      </c>
      <c r="I2" s="58" t="s">
        <v>36</v>
      </c>
      <c r="J2" s="58" t="s">
        <v>28</v>
      </c>
      <c r="K2" s="58" t="s">
        <v>37</v>
      </c>
      <c r="L2" s="59" t="s">
        <v>38</v>
      </c>
    </row>
    <row r="3" spans="1:12" ht="12.75">
      <c r="A3" s="120">
        <v>0</v>
      </c>
      <c r="B3" s="121"/>
      <c r="C3" s="127">
        <v>12015</v>
      </c>
      <c r="D3" s="127">
        <v>1549</v>
      </c>
      <c r="E3" s="122"/>
      <c r="F3" s="122"/>
      <c r="G3" s="122"/>
      <c r="H3" s="122"/>
      <c r="I3" s="122"/>
      <c r="J3" s="122"/>
      <c r="K3" s="122"/>
      <c r="L3" s="123"/>
    </row>
    <row r="4" spans="1:12" ht="12.75">
      <c r="A4" s="124">
        <v>1</v>
      </c>
      <c r="B4" s="102">
        <v>8000</v>
      </c>
      <c r="C4" s="103">
        <f aca="true" t="shared" si="0" ref="C4:C15">$B$21*B4+(1-$B$21)*(C3+D3)</f>
        <v>13007.6</v>
      </c>
      <c r="D4" s="103">
        <f aca="true" t="shared" si="1" ref="D4:D15">$B$22*(C4-C3)+(1-$B$22)*D3</f>
        <v>1437.7200000000003</v>
      </c>
      <c r="E4" s="103">
        <f>C3+D3</f>
        <v>13564</v>
      </c>
      <c r="F4" s="103">
        <f aca="true" t="shared" si="2" ref="F4:F15">E4-B4</f>
        <v>5564</v>
      </c>
      <c r="G4" s="103">
        <f aca="true" t="shared" si="3" ref="G4:G15">ABS(F4)</f>
        <v>5564</v>
      </c>
      <c r="H4" s="103">
        <f>SUMSQ($F$4:F4)/A4</f>
        <v>30958096</v>
      </c>
      <c r="I4" s="103">
        <f>SUM($G$4:G4)/A4</f>
        <v>5564</v>
      </c>
      <c r="J4" s="103">
        <f>100*G4/B4</f>
        <v>69.55</v>
      </c>
      <c r="K4" s="103">
        <f>AVERAGE($J$4:J4)</f>
        <v>69.55</v>
      </c>
      <c r="L4" s="104">
        <f>SUM($F$4:F4)/I4</f>
        <v>1</v>
      </c>
    </row>
    <row r="5" spans="1:12" ht="12.75">
      <c r="A5" s="124">
        <v>2</v>
      </c>
      <c r="B5" s="102">
        <v>13000</v>
      </c>
      <c r="C5" s="103">
        <f t="shared" si="0"/>
        <v>14300.788</v>
      </c>
      <c r="D5" s="103">
        <f t="shared" si="1"/>
        <v>1408.8136000000002</v>
      </c>
      <c r="E5" s="103">
        <f aca="true" t="shared" si="4" ref="E5:E15">C4+D4</f>
        <v>14445.32</v>
      </c>
      <c r="F5" s="103">
        <f t="shared" si="2"/>
        <v>1445.3199999999997</v>
      </c>
      <c r="G5" s="103">
        <f t="shared" si="3"/>
        <v>1445.3199999999997</v>
      </c>
      <c r="H5" s="103">
        <f>SUMSQ($F$4:F5)/A5</f>
        <v>16523522.9512</v>
      </c>
      <c r="I5" s="103">
        <f>SUM($G$4:G5)/A5</f>
        <v>3504.66</v>
      </c>
      <c r="J5" s="103">
        <f aca="true" t="shared" si="5" ref="J5:J15">100*G5/B5</f>
        <v>11.117846153846152</v>
      </c>
      <c r="K5" s="103">
        <f>AVERAGE($J$4:J5)</f>
        <v>40.33392307692307</v>
      </c>
      <c r="L5" s="104">
        <f>SUM($F$4:F5)/I5</f>
        <v>2</v>
      </c>
    </row>
    <row r="6" spans="1:12" ht="12.75">
      <c r="A6" s="124">
        <v>3</v>
      </c>
      <c r="B6" s="102">
        <v>23000</v>
      </c>
      <c r="C6" s="103">
        <f t="shared" si="0"/>
        <v>16438.64144</v>
      </c>
      <c r="D6" s="103">
        <f t="shared" si="1"/>
        <v>1554.621568</v>
      </c>
      <c r="E6" s="103">
        <f t="shared" si="4"/>
        <v>15709.6016</v>
      </c>
      <c r="F6" s="103">
        <f t="shared" si="2"/>
        <v>-7290.3984</v>
      </c>
      <c r="G6" s="103">
        <f t="shared" si="3"/>
        <v>7290.3984</v>
      </c>
      <c r="H6" s="103">
        <f>SUMSQ($F$4:F6)/A6</f>
        <v>28732318.244374186</v>
      </c>
      <c r="I6" s="103">
        <f>SUM($G$4:G6)/A6</f>
        <v>4766.5728</v>
      </c>
      <c r="J6" s="103">
        <f t="shared" si="5"/>
        <v>31.697384347826084</v>
      </c>
      <c r="K6" s="103">
        <f>AVERAGE($J$4:J6)</f>
        <v>37.45507683389074</v>
      </c>
      <c r="L6" s="104">
        <f>SUM($F$4:F6)/I6</f>
        <v>-0.058968657732448845</v>
      </c>
    </row>
    <row r="7" spans="1:12" ht="12.75">
      <c r="A7" s="124">
        <v>4</v>
      </c>
      <c r="B7" s="102">
        <v>34000</v>
      </c>
      <c r="C7" s="103">
        <f t="shared" si="0"/>
        <v>19593.9367072</v>
      </c>
      <c r="D7" s="103">
        <f t="shared" si="1"/>
        <v>1874.7563078399999</v>
      </c>
      <c r="E7" s="103">
        <f t="shared" si="4"/>
        <v>17993.263007999998</v>
      </c>
      <c r="F7" s="103">
        <f t="shared" si="2"/>
        <v>-16006.736992000002</v>
      </c>
      <c r="G7" s="103">
        <f t="shared" si="3"/>
        <v>16006.736992000002</v>
      </c>
      <c r="H7" s="103">
        <f>SUMSQ($F$4:F7)/A7</f>
        <v>85603145.96604595</v>
      </c>
      <c r="I7" s="105">
        <f>SUM($G$4:G7)/A7</f>
        <v>7576.613848000001</v>
      </c>
      <c r="J7" s="103">
        <f t="shared" si="5"/>
        <v>47.07863821176471</v>
      </c>
      <c r="K7" s="125">
        <f>AVERAGE($J$4:J7)</f>
        <v>39.86096717835923</v>
      </c>
      <c r="L7" s="106">
        <f>SUM($F$4:F7)/I7</f>
        <v>-2.1497486500911616</v>
      </c>
    </row>
    <row r="8" spans="1:12" ht="12.75">
      <c r="A8" s="124">
        <v>5</v>
      </c>
      <c r="B8" s="102">
        <v>10000</v>
      </c>
      <c r="C8" s="103">
        <f t="shared" si="0"/>
        <v>20321.823713536</v>
      </c>
      <c r="D8" s="103">
        <f t="shared" si="1"/>
        <v>1645.3824475392003</v>
      </c>
      <c r="E8" s="103">
        <f t="shared" si="4"/>
        <v>21468.69301504</v>
      </c>
      <c r="F8" s="103">
        <f t="shared" si="2"/>
        <v>11468.69301504</v>
      </c>
      <c r="G8" s="103">
        <f t="shared" si="3"/>
        <v>11468.69301504</v>
      </c>
      <c r="H8" s="103">
        <f>SUMSQ($F$4:F8)/A8</f>
        <v>94788700.66748221</v>
      </c>
      <c r="I8" s="105">
        <f>SUM($G$4:G8)/A8</f>
        <v>8355.029681408001</v>
      </c>
      <c r="J8" s="103">
        <f t="shared" si="5"/>
        <v>114.6869301504</v>
      </c>
      <c r="K8" s="125">
        <f>AVERAGE($J$4:J8)</f>
        <v>54.82615977276739</v>
      </c>
      <c r="L8" s="106">
        <f>SUM($F$4:F8)/I8</f>
        <v>-0.5767929691122147</v>
      </c>
    </row>
    <row r="9" spans="1:12" ht="12.75">
      <c r="A9" s="124">
        <v>6</v>
      </c>
      <c r="B9" s="102">
        <v>18000</v>
      </c>
      <c r="C9" s="103">
        <f t="shared" si="0"/>
        <v>21570.48554496768</v>
      </c>
      <c r="D9" s="103">
        <f t="shared" si="1"/>
        <v>1566.0383243176962</v>
      </c>
      <c r="E9" s="103">
        <f t="shared" si="4"/>
        <v>21967.2061610752</v>
      </c>
      <c r="F9" s="103">
        <f t="shared" si="2"/>
        <v>3967.206161075199</v>
      </c>
      <c r="G9" s="103">
        <f t="shared" si="3"/>
        <v>3967.206161075199</v>
      </c>
      <c r="H9" s="103">
        <f>SUMSQ($F$4:F9)/A9</f>
        <v>81613704.67698067</v>
      </c>
      <c r="I9" s="105">
        <f>SUM($G$4:G9)/A9</f>
        <v>7623.7257613525335</v>
      </c>
      <c r="J9" s="103">
        <f t="shared" si="5"/>
        <v>22.040034228195548</v>
      </c>
      <c r="K9" s="125">
        <f>AVERAGE($J$4:J9)</f>
        <v>49.36180551533875</v>
      </c>
      <c r="L9" s="106">
        <f>SUM($F$4:F9)/I9</f>
        <v>-0.11174539097451265</v>
      </c>
    </row>
    <row r="10" spans="1:12" ht="12.75">
      <c r="A10" s="124">
        <v>7</v>
      </c>
      <c r="B10" s="102">
        <v>23000</v>
      </c>
      <c r="C10" s="103">
        <f t="shared" si="0"/>
        <v>23122.871482356837</v>
      </c>
      <c r="D10" s="103">
        <f t="shared" si="1"/>
        <v>1563.3078469319885</v>
      </c>
      <c r="E10" s="103">
        <f t="shared" si="4"/>
        <v>23136.523869285375</v>
      </c>
      <c r="F10" s="103">
        <f t="shared" si="2"/>
        <v>136.52386928537453</v>
      </c>
      <c r="G10" s="103">
        <f t="shared" si="3"/>
        <v>136.52386928537453</v>
      </c>
      <c r="H10" s="103">
        <f>SUMSQ($F$4:F10)/A10</f>
        <v>69957266.68982409</v>
      </c>
      <c r="I10" s="105">
        <f>SUM($G$4:G10)/A10</f>
        <v>6554.125491057225</v>
      </c>
      <c r="J10" s="103">
        <f t="shared" si="5"/>
        <v>0.5935820403711937</v>
      </c>
      <c r="K10" s="125">
        <f>AVERAGE($J$4:J10)</f>
        <v>42.394916447486246</v>
      </c>
      <c r="L10" s="106">
        <f>SUM($F$4:F10)/I10</f>
        <v>-0.10915145698316966</v>
      </c>
    </row>
    <row r="11" spans="1:12" ht="12.75">
      <c r="A11" s="124">
        <v>8</v>
      </c>
      <c r="B11" s="102">
        <v>38000</v>
      </c>
      <c r="C11" s="103">
        <f t="shared" si="0"/>
        <v>26017.561396359943</v>
      </c>
      <c r="D11" s="103">
        <f t="shared" si="1"/>
        <v>1829.584260346212</v>
      </c>
      <c r="E11" s="103">
        <f t="shared" si="4"/>
        <v>24686.179329288825</v>
      </c>
      <c r="F11" s="103">
        <f t="shared" si="2"/>
        <v>-13313.820670711175</v>
      </c>
      <c r="G11" s="103">
        <f t="shared" si="3"/>
        <v>13313.820670711175</v>
      </c>
      <c r="H11" s="103">
        <f>SUMSQ($F$4:F11)/A11</f>
        <v>83369835.9600781</v>
      </c>
      <c r="I11" s="105">
        <f>SUM($G$4:G11)/A11</f>
        <v>7399.087388513969</v>
      </c>
      <c r="J11" s="103">
        <f t="shared" si="5"/>
        <v>35.03637018608204</v>
      </c>
      <c r="K11" s="125">
        <f>AVERAGE($J$4:J11)</f>
        <v>41.47509816481072</v>
      </c>
      <c r="L11" s="106">
        <f>SUM($F$4:F11)/I11</f>
        <v>-1.8960734318517392</v>
      </c>
    </row>
    <row r="12" spans="1:12" ht="12.75">
      <c r="A12" s="124">
        <v>9</v>
      </c>
      <c r="B12" s="102">
        <v>12000</v>
      </c>
      <c r="C12" s="103">
        <f t="shared" si="0"/>
        <v>26262.431091035538</v>
      </c>
      <c r="D12" s="103">
        <f t="shared" si="1"/>
        <v>1512.6413472120887</v>
      </c>
      <c r="E12" s="103">
        <f t="shared" si="4"/>
        <v>27847.145656706154</v>
      </c>
      <c r="F12" s="103">
        <f t="shared" si="2"/>
        <v>15847.145656706154</v>
      </c>
      <c r="G12" s="103">
        <f t="shared" si="3"/>
        <v>15847.145656706154</v>
      </c>
      <c r="H12" s="103">
        <f>SUMSQ($F$4:F12)/A12</f>
        <v>102010079.23838729</v>
      </c>
      <c r="I12" s="105">
        <f>SUM($G$4:G12)/A12</f>
        <v>8337.760529424213</v>
      </c>
      <c r="J12" s="103">
        <f t="shared" si="5"/>
        <v>132.05954713921795</v>
      </c>
      <c r="K12" s="125">
        <f>AVERAGE($J$4:J12)</f>
        <v>51.54003693974485</v>
      </c>
      <c r="L12" s="106">
        <f>SUM($F$4:F12)/I12</f>
        <v>0.21803608210862024</v>
      </c>
    </row>
    <row r="13" spans="1:12" ht="12.75">
      <c r="A13" s="124">
        <v>10</v>
      </c>
      <c r="B13" s="102">
        <v>13000</v>
      </c>
      <c r="C13" s="103">
        <f t="shared" si="0"/>
        <v>26297.565194422863</v>
      </c>
      <c r="D13" s="103">
        <f t="shared" si="1"/>
        <v>1217.139898447136</v>
      </c>
      <c r="E13" s="103">
        <f t="shared" si="4"/>
        <v>27775.072438247626</v>
      </c>
      <c r="F13" s="103">
        <f t="shared" si="2"/>
        <v>14775.072438247626</v>
      </c>
      <c r="G13" s="103">
        <f t="shared" si="3"/>
        <v>14775.072438247626</v>
      </c>
      <c r="H13" s="103">
        <f>SUMSQ($F$4:F13)/A13</f>
        <v>113639347.87009501</v>
      </c>
      <c r="I13" s="105">
        <f>SUM($G$4:G13)/A13</f>
        <v>8981.491720306552</v>
      </c>
      <c r="J13" s="103">
        <f t="shared" si="5"/>
        <v>113.65440337113557</v>
      </c>
      <c r="K13" s="125">
        <f>AVERAGE($J$4:J13)</f>
        <v>57.75147358288393</v>
      </c>
      <c r="L13" s="106">
        <f>SUM($F$4:F13)/I13</f>
        <v>1.847466500484268</v>
      </c>
    </row>
    <row r="14" spans="1:12" ht="12.75">
      <c r="A14" s="124">
        <v>11</v>
      </c>
      <c r="B14" s="102">
        <v>32000</v>
      </c>
      <c r="C14" s="103">
        <f t="shared" si="0"/>
        <v>27963.234583583</v>
      </c>
      <c r="D14" s="103">
        <f t="shared" si="1"/>
        <v>1306.845796589736</v>
      </c>
      <c r="E14" s="103">
        <f t="shared" si="4"/>
        <v>27514.705092869997</v>
      </c>
      <c r="F14" s="103">
        <f t="shared" si="2"/>
        <v>-4485.294907130003</v>
      </c>
      <c r="G14" s="103">
        <f t="shared" si="3"/>
        <v>4485.294907130003</v>
      </c>
      <c r="H14" s="103">
        <f>SUMSQ($F$4:F14)/A14</f>
        <v>105137395.3731706</v>
      </c>
      <c r="I14" s="105">
        <f>SUM($G$4:G14)/A14</f>
        <v>8572.746555472322</v>
      </c>
      <c r="J14" s="103">
        <f t="shared" si="5"/>
        <v>14.01654658478126</v>
      </c>
      <c r="K14" s="125">
        <f>AVERAGE($J$4:J14)</f>
        <v>53.77557112851096</v>
      </c>
      <c r="L14" s="106">
        <f>SUM($F$4:F14)/I14</f>
        <v>1.4123490169885335</v>
      </c>
    </row>
    <row r="15" spans="1:12" ht="13.5" thickBot="1">
      <c r="A15" s="91">
        <v>12</v>
      </c>
      <c r="B15" s="114">
        <v>41000</v>
      </c>
      <c r="C15" s="115">
        <f t="shared" si="0"/>
        <v>30443.07234215546</v>
      </c>
      <c r="D15" s="115">
        <f t="shared" si="1"/>
        <v>1541.4441889862815</v>
      </c>
      <c r="E15" s="115">
        <f t="shared" si="4"/>
        <v>29270.080380172734</v>
      </c>
      <c r="F15" s="115">
        <f t="shared" si="2"/>
        <v>-11729.919619827266</v>
      </c>
      <c r="G15" s="115">
        <f t="shared" si="3"/>
        <v>11729.919619827266</v>
      </c>
      <c r="H15" s="115">
        <f>SUMSQ($F$4:F15)/A15</f>
        <v>107841863.61604042</v>
      </c>
      <c r="I15" s="116">
        <f>SUM($G$4:G15)/A15</f>
        <v>8835.844310835235</v>
      </c>
      <c r="J15" s="115">
        <f t="shared" si="5"/>
        <v>28.609560048359185</v>
      </c>
      <c r="K15" s="126">
        <f>AVERAGE($J$4:J15)</f>
        <v>51.678403538498316</v>
      </c>
      <c r="L15" s="117">
        <f>SUM($F$4:F15)/I15</f>
        <v>0.042756587530931076</v>
      </c>
    </row>
    <row r="16" spans="1:12" ht="12.75">
      <c r="A16" s="118">
        <v>13</v>
      </c>
      <c r="B16" s="33"/>
      <c r="C16" s="33"/>
      <c r="D16" s="24"/>
      <c r="E16" s="24">
        <f>$C$15+$D$15</f>
        <v>31984.516531141744</v>
      </c>
      <c r="F16" s="33"/>
      <c r="G16" s="33"/>
      <c r="H16" s="33"/>
      <c r="I16" s="33"/>
      <c r="J16" s="33"/>
      <c r="K16" s="33"/>
      <c r="L16" s="52"/>
    </row>
    <row r="17" spans="1:12" ht="12.75">
      <c r="A17" s="47">
        <v>14</v>
      </c>
      <c r="B17" s="31"/>
      <c r="C17" s="31"/>
      <c r="D17" s="20"/>
      <c r="E17" s="20">
        <f>$C$15+2*$D$15</f>
        <v>33525.96072012802</v>
      </c>
      <c r="F17" s="31"/>
      <c r="G17" s="31"/>
      <c r="H17" s="31"/>
      <c r="I17" s="31"/>
      <c r="J17" s="31"/>
      <c r="K17" s="31"/>
      <c r="L17" s="40"/>
    </row>
    <row r="18" spans="1:12" ht="12.75">
      <c r="A18" s="47">
        <v>15</v>
      </c>
      <c r="B18" s="31"/>
      <c r="C18" s="31"/>
      <c r="D18" s="20"/>
      <c r="E18" s="20">
        <f>$C$15+3*$D$15</f>
        <v>35067.40490911431</v>
      </c>
      <c r="F18" s="31"/>
      <c r="G18" s="31"/>
      <c r="H18" s="31"/>
      <c r="I18" s="31"/>
      <c r="J18" s="31"/>
      <c r="K18" s="31"/>
      <c r="L18" s="40"/>
    </row>
    <row r="19" spans="1:12" ht="13.5" thickBot="1">
      <c r="A19" s="62">
        <v>16</v>
      </c>
      <c r="B19" s="63"/>
      <c r="C19" s="63"/>
      <c r="D19" s="64"/>
      <c r="E19" s="64">
        <f>$C$15+4*$D$15</f>
        <v>36608.84909810059</v>
      </c>
      <c r="F19" s="63"/>
      <c r="G19" s="63"/>
      <c r="H19" s="63"/>
      <c r="I19" s="63"/>
      <c r="J19" s="63"/>
      <c r="K19" s="63"/>
      <c r="L19" s="65"/>
    </row>
    <row r="20" ht="13.5" thickBot="1"/>
    <row r="21" spans="1:5" ht="21" thickBot="1">
      <c r="A21" s="133" t="s">
        <v>25</v>
      </c>
      <c r="B21" s="138">
        <v>0.1</v>
      </c>
      <c r="C21" s="5"/>
      <c r="D21" s="5"/>
      <c r="E21" s="6"/>
    </row>
    <row r="22" spans="1:5" ht="21" thickBot="1">
      <c r="A22" s="136" t="s">
        <v>26</v>
      </c>
      <c r="B22" s="137">
        <v>0.2</v>
      </c>
      <c r="C22" s="5"/>
      <c r="D22" s="5"/>
      <c r="E22" s="6"/>
    </row>
    <row r="23" spans="3:5" ht="12.75">
      <c r="C23" s="5"/>
      <c r="D23" s="5"/>
      <c r="E23" s="6"/>
    </row>
    <row r="24" spans="3:5" ht="12.75">
      <c r="C24" s="5"/>
      <c r="D24" s="5"/>
      <c r="E24" s="6"/>
    </row>
    <row r="25" spans="3:5" ht="12.75">
      <c r="C25" s="5"/>
      <c r="D25" s="5"/>
      <c r="E25" s="6"/>
    </row>
    <row r="26" spans="3:5" ht="12.75">
      <c r="C26" s="5"/>
      <c r="D26" s="5"/>
      <c r="E26" s="6"/>
    </row>
    <row r="27" spans="3:5" ht="12.75">
      <c r="C27" s="5"/>
      <c r="D27" s="5"/>
      <c r="E27" s="6"/>
    </row>
    <row r="28" spans="3:5" ht="12.75">
      <c r="C28" s="5"/>
      <c r="D28" s="5"/>
      <c r="E28" s="6"/>
    </row>
    <row r="29" spans="3:5" ht="12.75">
      <c r="C29" s="5"/>
      <c r="D29" s="5"/>
      <c r="E29" s="6"/>
    </row>
    <row r="30" spans="3:5" ht="12.75">
      <c r="C30" s="5"/>
      <c r="D30" s="5"/>
      <c r="E30" s="6"/>
    </row>
    <row r="31" spans="3:5" ht="12.75">
      <c r="C31" s="5"/>
      <c r="D31" s="5"/>
      <c r="E31" s="6"/>
    </row>
    <row r="32" spans="3:5" ht="12.75">
      <c r="C32" s="5"/>
      <c r="D32" s="5"/>
      <c r="E32" s="6"/>
    </row>
    <row r="33" spans="2:4" ht="12.75">
      <c r="B33" s="5"/>
      <c r="C33" s="5"/>
      <c r="D33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</sheetData>
  <sheetProtection/>
  <printOptions/>
  <pageMargins left="0.75" right="0.75" top="1" bottom="1" header="0.5" footer="0.5"/>
  <pageSetup horizontalDpi="300" verticalDpi="300" orientation="landscape" scale="98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I18"/>
  <sheetViews>
    <sheetView showGridLines="0" zoomScalePageLayoutView="0" workbookViewId="0" topLeftCell="A1">
      <selection activeCell="I24" sqref="I24"/>
    </sheetView>
  </sheetViews>
  <sheetFormatPr defaultColWidth="9.140625" defaultRowHeight="12.75"/>
  <cols>
    <col min="2" max="2" width="10.57421875" style="0" customWidth="1"/>
    <col min="3" max="3" width="13.421875" style="0" bestFit="1" customWidth="1"/>
    <col min="4" max="4" width="12.28125" style="0" bestFit="1" customWidth="1"/>
    <col min="5" max="9" width="9.28125" style="0" bestFit="1" customWidth="1"/>
  </cols>
  <sheetData>
    <row r="1" ht="12.75">
      <c r="A1" s="42" t="s">
        <v>66</v>
      </c>
    </row>
    <row r="2" ht="13.5" thickBot="1"/>
    <row r="3" spans="1:2" ht="12.75">
      <c r="A3" s="4" t="s">
        <v>0</v>
      </c>
      <c r="B3" s="4"/>
    </row>
    <row r="4" spans="1:2" ht="12.75">
      <c r="A4" s="1" t="s">
        <v>1</v>
      </c>
      <c r="B4" s="1">
        <v>0.4813271965428314</v>
      </c>
    </row>
    <row r="5" spans="1:2" ht="12.75">
      <c r="A5" s="1" t="s">
        <v>2</v>
      </c>
      <c r="B5" s="1">
        <v>0.23167587013178143</v>
      </c>
    </row>
    <row r="6" spans="1:2" ht="12.75">
      <c r="A6" s="1" t="s">
        <v>3</v>
      </c>
      <c r="B6" s="1">
        <v>0.15484345714495956</v>
      </c>
    </row>
    <row r="7" spans="1:2" ht="12.75">
      <c r="A7" s="1" t="s">
        <v>4</v>
      </c>
      <c r="B7" s="1">
        <v>10666.883374838264</v>
      </c>
    </row>
    <row r="8" spans="1:2" ht="13.5" thickBot="1">
      <c r="A8" s="2" t="s">
        <v>5</v>
      </c>
      <c r="B8" s="2">
        <v>12</v>
      </c>
    </row>
    <row r="10" ht="13.5" thickBot="1">
      <c r="A10" t="s">
        <v>6</v>
      </c>
    </row>
    <row r="11" spans="1:6" ht="12.75">
      <c r="A11" s="3"/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</row>
    <row r="12" spans="1:6" ht="12.75">
      <c r="A12" s="1" t="s">
        <v>7</v>
      </c>
      <c r="B12" s="1">
        <v>1</v>
      </c>
      <c r="C12" s="1">
        <v>343092657.3426573</v>
      </c>
      <c r="D12" s="1">
        <v>343092657.3426573</v>
      </c>
      <c r="E12" s="1">
        <v>3.015340285766087</v>
      </c>
      <c r="F12" s="1">
        <v>0.11312702244665584</v>
      </c>
    </row>
    <row r="13" spans="1:6" ht="12.75">
      <c r="A13" s="1" t="s">
        <v>8</v>
      </c>
      <c r="B13" s="1">
        <v>10</v>
      </c>
      <c r="C13" s="1">
        <v>1137824009.3240094</v>
      </c>
      <c r="D13" s="1">
        <v>113782400.93240094</v>
      </c>
      <c r="E13" s="1"/>
      <c r="F13" s="1"/>
    </row>
    <row r="14" spans="1:6" ht="13.5" thickBot="1">
      <c r="A14" s="2" t="s">
        <v>9</v>
      </c>
      <c r="B14" s="2">
        <v>11</v>
      </c>
      <c r="C14" s="2">
        <v>1480916666.6666667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4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10</v>
      </c>
      <c r="B17" s="78">
        <v>12015.151515151498</v>
      </c>
      <c r="C17" s="1">
        <v>6565.012893557492</v>
      </c>
      <c r="D17" s="1">
        <v>1.830179423858016</v>
      </c>
      <c r="E17" s="1">
        <v>0.0971472667318384</v>
      </c>
      <c r="F17" s="1">
        <v>-2612.61130806427</v>
      </c>
      <c r="G17" s="1">
        <v>26642.914338367264</v>
      </c>
      <c r="H17" s="1">
        <v>-2612.61130806427</v>
      </c>
      <c r="I17" s="1">
        <v>26642.914338367264</v>
      </c>
    </row>
    <row r="18" spans="1:9" ht="13.5" thickBot="1">
      <c r="A18" s="2" t="s">
        <v>23</v>
      </c>
      <c r="B18" s="79">
        <v>1548.951048951051</v>
      </c>
      <c r="C18" s="2">
        <v>892.0095993885969</v>
      </c>
      <c r="D18" s="2">
        <v>1.7364735200302062</v>
      </c>
      <c r="E18" s="2">
        <v>0.11312702244665533</v>
      </c>
      <c r="F18" s="2">
        <v>-438.57053972590825</v>
      </c>
      <c r="G18" s="2">
        <v>3536.4726376280105</v>
      </c>
      <c r="H18" s="2">
        <v>-438.57053972590825</v>
      </c>
      <c r="I18" s="2">
        <v>3536.4726376280105</v>
      </c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N40"/>
  <sheetViews>
    <sheetView zoomScalePageLayoutView="0" workbookViewId="0" topLeftCell="A1">
      <selection activeCell="G4" sqref="G4:N15"/>
    </sheetView>
  </sheetViews>
  <sheetFormatPr defaultColWidth="9.140625" defaultRowHeight="12.75"/>
  <cols>
    <col min="1" max="1" width="14.140625" style="0" customWidth="1"/>
    <col min="3" max="4" width="7.57421875" style="0" customWidth="1"/>
    <col min="5" max="5" width="16.421875" style="0" customWidth="1"/>
    <col min="6" max="6" width="10.140625" style="0" customWidth="1"/>
    <col min="7" max="7" width="9.28125" style="0" customWidth="1"/>
    <col min="8" max="8" width="19.28125" style="0" customWidth="1"/>
    <col min="9" max="9" width="14.421875" style="0" customWidth="1"/>
    <col min="10" max="10" width="8.140625" style="0" customWidth="1"/>
    <col min="11" max="11" width="9.140625" style="0" customWidth="1"/>
    <col min="12" max="12" width="7.57421875" style="0" customWidth="1"/>
    <col min="13" max="13" width="11.57421875" style="0" customWidth="1"/>
    <col min="14" max="14" width="9.57421875" style="0" customWidth="1"/>
  </cols>
  <sheetData>
    <row r="1" ht="16.5" thickBot="1">
      <c r="A1" s="50" t="s">
        <v>67</v>
      </c>
    </row>
    <row r="2" spans="1:14" ht="29.25" thickBot="1">
      <c r="A2" s="60" t="s">
        <v>24</v>
      </c>
      <c r="B2" s="55" t="s">
        <v>29</v>
      </c>
      <c r="C2" s="56" t="s">
        <v>31</v>
      </c>
      <c r="D2" s="57" t="s">
        <v>39</v>
      </c>
      <c r="E2" s="57" t="s">
        <v>40</v>
      </c>
      <c r="F2" s="55" t="s">
        <v>32</v>
      </c>
      <c r="G2" s="56" t="s">
        <v>33</v>
      </c>
      <c r="H2" s="57" t="s">
        <v>72</v>
      </c>
      <c r="I2" s="57" t="s">
        <v>34</v>
      </c>
      <c r="J2" s="58" t="s">
        <v>36</v>
      </c>
      <c r="K2" s="58" t="s">
        <v>28</v>
      </c>
      <c r="L2" s="234" t="s">
        <v>131</v>
      </c>
      <c r="M2" s="149" t="s">
        <v>97</v>
      </c>
      <c r="N2" s="59" t="s">
        <v>38</v>
      </c>
    </row>
    <row r="3" spans="1:14" ht="13.5" thickBot="1">
      <c r="A3" s="128"/>
      <c r="B3" s="129"/>
      <c r="C3" s="211">
        <v>18439</v>
      </c>
      <c r="D3" s="212">
        <v>524</v>
      </c>
      <c r="E3" s="130"/>
      <c r="F3" s="222"/>
      <c r="G3" s="226"/>
      <c r="H3" s="130"/>
      <c r="I3" s="130"/>
      <c r="J3" s="130"/>
      <c r="K3" s="130"/>
      <c r="L3" s="235"/>
      <c r="M3" s="155"/>
      <c r="N3" s="221"/>
    </row>
    <row r="4" spans="1:14" ht="12.75">
      <c r="A4" s="71">
        <v>1</v>
      </c>
      <c r="B4" s="131">
        <v>8000</v>
      </c>
      <c r="C4" s="215">
        <f aca="true" t="shared" si="0" ref="C4:C15">$B$21*(B4/E4)+(1-$B$21)*(C3+D3)</f>
        <v>18762.762712747328</v>
      </c>
      <c r="D4" s="216">
        <f aca="true" t="shared" si="1" ref="D4:D15">$B$22*(C4-C3)+(1-$B$22)*D3</f>
        <v>483.95254254946565</v>
      </c>
      <c r="E4" s="213">
        <f>deseasonalized!F4</f>
        <v>0.47168067193938795</v>
      </c>
      <c r="F4" s="223">
        <f>(C3+D3)*E4</f>
        <v>8944.480581986614</v>
      </c>
      <c r="G4" s="121">
        <f aca="true" t="shared" si="2" ref="G4:G15">F4-B4</f>
        <v>944.4805819866142</v>
      </c>
      <c r="H4" s="122">
        <f>SUMSQ($G$4:G4)/A4</f>
        <v>892043.5697497735</v>
      </c>
      <c r="I4" s="122">
        <f aca="true" t="shared" si="3" ref="I4:I15">ABS(G4)</f>
        <v>944.4805819866142</v>
      </c>
      <c r="J4" s="132">
        <f>SUM($I$4:I4)/A4</f>
        <v>944.4805819866142</v>
      </c>
      <c r="K4" s="122">
        <f>100*I4/B4</f>
        <v>11.806007274832679</v>
      </c>
      <c r="L4" s="236">
        <f>AVERAGE($K$4:K4)</f>
        <v>11.806007274832679</v>
      </c>
      <c r="M4" s="154">
        <f>SUM($G$4:G4)</f>
        <v>944.4805819866142</v>
      </c>
      <c r="N4" s="227">
        <f aca="true" t="shared" si="4" ref="N4:N15">M4/J4</f>
        <v>1</v>
      </c>
    </row>
    <row r="5" spans="1:14" ht="12.75">
      <c r="A5" s="15">
        <v>2</v>
      </c>
      <c r="B5" s="70">
        <v>13000</v>
      </c>
      <c r="C5" s="217">
        <f t="shared" si="0"/>
        <v>19224.284820826328</v>
      </c>
      <c r="D5" s="218">
        <f t="shared" si="1"/>
        <v>479.46645565537244</v>
      </c>
      <c r="E5" s="214">
        <f>deseasonalized!F5</f>
        <v>0.6834044360150626</v>
      </c>
      <c r="F5" s="224">
        <f>(C4+D4)*E5</f>
        <v>13153.290584188606</v>
      </c>
      <c r="G5" s="102">
        <f t="shared" si="2"/>
        <v>153.29058418860586</v>
      </c>
      <c r="H5" s="103">
        <f>SUMSQ($G$4:G5)/A5</f>
        <v>457770.7864753288</v>
      </c>
      <c r="I5" s="103">
        <f t="shared" si="3"/>
        <v>153.29058418860586</v>
      </c>
      <c r="J5" s="105">
        <f>SUM($I$4:I5)/A5</f>
        <v>548.88558308761</v>
      </c>
      <c r="K5" s="103">
        <f aca="true" t="shared" si="5" ref="K5:K15">100*I5/B5</f>
        <v>1.1791583399123529</v>
      </c>
      <c r="L5" s="210">
        <f>AVERAGE($K$4:K5)</f>
        <v>6.492582807372516</v>
      </c>
      <c r="M5" s="153">
        <f>SUM($G$4:G5)</f>
        <v>1097.77116617522</v>
      </c>
      <c r="N5" s="228">
        <f t="shared" si="4"/>
        <v>2</v>
      </c>
    </row>
    <row r="6" spans="1:14" ht="12.75">
      <c r="A6" s="15">
        <v>3</v>
      </c>
      <c r="B6" s="70">
        <v>23000</v>
      </c>
      <c r="C6" s="217">
        <f t="shared" si="0"/>
        <v>19697.999055175234</v>
      </c>
      <c r="D6" s="218">
        <f t="shared" si="1"/>
        <v>478.31601139407934</v>
      </c>
      <c r="E6" s="214">
        <f>deseasonalized!F6</f>
        <v>1.1707081255011917</v>
      </c>
      <c r="F6" s="224">
        <f aca="true" t="shared" si="6" ref="F6:F15">(C5+D5)*E6</f>
        <v>23067.341722231606</v>
      </c>
      <c r="G6" s="102">
        <f t="shared" si="2"/>
        <v>67.34172223160567</v>
      </c>
      <c r="H6" s="103">
        <f>SUMSQ($G$4:G6)/A6</f>
        <v>306692.16016792547</v>
      </c>
      <c r="I6" s="103">
        <f t="shared" si="3"/>
        <v>67.34172223160567</v>
      </c>
      <c r="J6" s="105">
        <f>SUM($I$4:I6)/A6</f>
        <v>388.37096280227524</v>
      </c>
      <c r="K6" s="103">
        <f t="shared" si="5"/>
        <v>0.2927900966591551</v>
      </c>
      <c r="L6" s="210">
        <f>AVERAGE($K$4:K6)</f>
        <v>4.4259852371347295</v>
      </c>
      <c r="M6" s="153">
        <f>SUM($G$4:G6)</f>
        <v>1165.1128884068257</v>
      </c>
      <c r="N6" s="228">
        <f t="shared" si="4"/>
        <v>3</v>
      </c>
    </row>
    <row r="7" spans="1:14" ht="12.75">
      <c r="A7" s="15">
        <v>4</v>
      </c>
      <c r="B7" s="70">
        <v>34000</v>
      </c>
      <c r="C7" s="217">
        <f t="shared" si="0"/>
        <v>20201.437422044968</v>
      </c>
      <c r="D7" s="218">
        <f t="shared" si="1"/>
        <v>483.3404824892102</v>
      </c>
      <c r="E7" s="214">
        <f>deseasonalized!F7</f>
        <v>1.6644198124048515</v>
      </c>
      <c r="F7" s="224">
        <f t="shared" si="6"/>
        <v>33581.858538120476</v>
      </c>
      <c r="G7" s="102">
        <f t="shared" si="2"/>
        <v>-418.1414618795243</v>
      </c>
      <c r="H7" s="103">
        <f>SUMSQ($G$4:G7)/A7</f>
        <v>273729.6906616305</v>
      </c>
      <c r="I7" s="103">
        <f t="shared" si="3"/>
        <v>418.1414618795243</v>
      </c>
      <c r="J7" s="105">
        <f>SUM($I$4:I7)/A7</f>
        <v>395.8135875715875</v>
      </c>
      <c r="K7" s="103">
        <f t="shared" si="5"/>
        <v>1.2298278290574243</v>
      </c>
      <c r="L7" s="210">
        <f>AVERAGE($K$4:K7)</f>
        <v>3.626945885115403</v>
      </c>
      <c r="M7" s="153">
        <f>SUM($G$4:G7)</f>
        <v>746.9714265273014</v>
      </c>
      <c r="N7" s="228">
        <f t="shared" si="4"/>
        <v>1.8871798492572036</v>
      </c>
    </row>
    <row r="8" spans="1:14" ht="12.75">
      <c r="A8" s="15">
        <v>5</v>
      </c>
      <c r="B8" s="70">
        <v>10000</v>
      </c>
      <c r="C8" s="217">
        <f t="shared" si="0"/>
        <v>20756.93902488851</v>
      </c>
      <c r="D8" s="218">
        <f t="shared" si="1"/>
        <v>497.7727065600766</v>
      </c>
      <c r="E8" s="147">
        <f>$B$23*(B4/C4)+(1-$B$23)*E4</f>
        <v>0.467150248905202</v>
      </c>
      <c r="F8" s="224">
        <f t="shared" si="6"/>
        <v>9662.899146651964</v>
      </c>
      <c r="G8" s="102">
        <f t="shared" si="2"/>
        <v>-337.10085334803625</v>
      </c>
      <c r="H8" s="103">
        <f>SUMSQ($G$4:G8)/A8</f>
        <v>241711.1495948992</v>
      </c>
      <c r="I8" s="103">
        <f t="shared" si="3"/>
        <v>337.10085334803625</v>
      </c>
      <c r="J8" s="105">
        <f>SUM($I$4:I8)/A8</f>
        <v>384.07104072687724</v>
      </c>
      <c r="K8" s="103">
        <f t="shared" si="5"/>
        <v>3.3710085334803623</v>
      </c>
      <c r="L8" s="210">
        <f>AVERAGE($K$4:K8)</f>
        <v>3.5757584147883947</v>
      </c>
      <c r="M8" s="153">
        <f>SUM($G$4:G8)</f>
        <v>409.8705731792652</v>
      </c>
      <c r="N8" s="228">
        <f t="shared" si="4"/>
        <v>1.0671738551377392</v>
      </c>
    </row>
    <row r="9" spans="1:14" ht="12.75">
      <c r="A9" s="15">
        <v>6</v>
      </c>
      <c r="B9" s="70">
        <v>18000</v>
      </c>
      <c r="C9" s="217">
        <f t="shared" si="0"/>
        <v>21765.881570780486</v>
      </c>
      <c r="D9" s="218">
        <f t="shared" si="1"/>
        <v>600.0066744264565</v>
      </c>
      <c r="E9" s="147">
        <f>$B$23*(B5/C5)+(1-$B$23)*E5</f>
        <v>0.6826867940998727</v>
      </c>
      <c r="F9" s="224">
        <f t="shared" si="6"/>
        <v>14510.31101145959</v>
      </c>
      <c r="G9" s="102">
        <f t="shared" si="2"/>
        <v>-3489.6889885404107</v>
      </c>
      <c r="H9" s="103">
        <f>SUMSQ($G$4:G9)/A9</f>
        <v>2231080.8307857816</v>
      </c>
      <c r="I9" s="103">
        <f t="shared" si="3"/>
        <v>3489.6889885404107</v>
      </c>
      <c r="J9" s="105">
        <f>SUM($I$4:I9)/A9</f>
        <v>901.6740320291328</v>
      </c>
      <c r="K9" s="103">
        <f t="shared" si="5"/>
        <v>19.387161047446725</v>
      </c>
      <c r="L9" s="210">
        <f>AVERAGE($K$4:K9)</f>
        <v>6.210992186898117</v>
      </c>
      <c r="M9" s="153">
        <f>SUM($G$4:G9)</f>
        <v>-3079.8184153611455</v>
      </c>
      <c r="N9" s="228">
        <f t="shared" si="4"/>
        <v>-3.415667198965798</v>
      </c>
    </row>
    <row r="10" spans="1:14" ht="12.75">
      <c r="A10" s="15">
        <v>7</v>
      </c>
      <c r="B10" s="70">
        <v>23000</v>
      </c>
      <c r="C10" s="217">
        <f t="shared" si="0"/>
        <v>22094.438802073426</v>
      </c>
      <c r="D10" s="218">
        <f t="shared" si="1"/>
        <v>545.7167857997532</v>
      </c>
      <c r="E10" s="147">
        <f>$B$23*(B6/C6)+(1-$B$23)*E6</f>
        <v>1.170400441711388</v>
      </c>
      <c r="F10" s="224">
        <f t="shared" si="6"/>
        <v>26177.045481457746</v>
      </c>
      <c r="G10" s="102">
        <f t="shared" si="2"/>
        <v>3177.045481457746</v>
      </c>
      <c r="H10" s="103">
        <f>SUMSQ($G$4:G10)/A10</f>
        <v>3354300.4251379673</v>
      </c>
      <c r="I10" s="103">
        <f t="shared" si="3"/>
        <v>3177.045481457746</v>
      </c>
      <c r="J10" s="105">
        <f>SUM($I$4:I10)/A10</f>
        <v>1226.7270962332204</v>
      </c>
      <c r="K10" s="103">
        <f t="shared" si="5"/>
        <v>13.813241223729332</v>
      </c>
      <c r="L10" s="210">
        <f>AVERAGE($K$4:K10)</f>
        <v>7.297027763588289</v>
      </c>
      <c r="M10" s="153">
        <f>SUM($G$4:G10)</f>
        <v>97.22706609660054</v>
      </c>
      <c r="N10" s="228">
        <f t="shared" si="4"/>
        <v>0.0792572907170187</v>
      </c>
    </row>
    <row r="11" spans="1:14" ht="12.75">
      <c r="A11" s="15">
        <v>8</v>
      </c>
      <c r="B11" s="70">
        <v>38000</v>
      </c>
      <c r="C11" s="217">
        <f t="shared" si="0"/>
        <v>22656.66543519687</v>
      </c>
      <c r="D11" s="218">
        <f t="shared" si="1"/>
        <v>549.0187552644911</v>
      </c>
      <c r="E11" s="147">
        <f>$B$23*(B7/C7)+(1-$B$23)*E7</f>
        <v>1.6662826863569837</v>
      </c>
      <c r="F11" s="224">
        <f t="shared" si="6"/>
        <v>37724.899272501396</v>
      </c>
      <c r="G11" s="102">
        <f t="shared" si="2"/>
        <v>-275.1007274986041</v>
      </c>
      <c r="H11" s="103">
        <f>SUMSQ($G$4:G11)/A11</f>
        <v>2944472.9232795043</v>
      </c>
      <c r="I11" s="103">
        <f t="shared" si="3"/>
        <v>275.1007274986041</v>
      </c>
      <c r="J11" s="105">
        <f>SUM($I$4:I11)/A11</f>
        <v>1107.7738001413934</v>
      </c>
      <c r="K11" s="103">
        <f t="shared" si="5"/>
        <v>0.7239492828910634</v>
      </c>
      <c r="L11" s="210">
        <f>AVERAGE($K$4:K11)</f>
        <v>6.475392953501136</v>
      </c>
      <c r="M11" s="153">
        <f>SUM($G$4:G11)</f>
        <v>-177.87366140200356</v>
      </c>
      <c r="N11" s="228">
        <f t="shared" si="4"/>
        <v>-0.16056857580428444</v>
      </c>
    </row>
    <row r="12" spans="1:14" ht="12.75">
      <c r="A12" s="15">
        <v>9</v>
      </c>
      <c r="B12" s="70">
        <v>12000</v>
      </c>
      <c r="C12" s="217">
        <f t="shared" si="0"/>
        <v>23453.882464384522</v>
      </c>
      <c r="D12" s="218">
        <f t="shared" si="1"/>
        <v>598.6584100491236</v>
      </c>
      <c r="E12" s="147">
        <f>$B$23*(B4/C4)+(1-$B$23)*E4</f>
        <v>0.467150248905202</v>
      </c>
      <c r="F12" s="224">
        <f t="shared" si="6"/>
        <v>10840.541145589536</v>
      </c>
      <c r="G12" s="102">
        <f t="shared" si="2"/>
        <v>-1159.4588544104645</v>
      </c>
      <c r="H12" s="103">
        <f>SUMSQ($G$4:G12)/A12</f>
        <v>2766680.9134785403</v>
      </c>
      <c r="I12" s="103">
        <f t="shared" si="3"/>
        <v>1159.4588544104645</v>
      </c>
      <c r="J12" s="105">
        <f>SUM($I$4:I12)/A12</f>
        <v>1113.516583949068</v>
      </c>
      <c r="K12" s="103">
        <f t="shared" si="5"/>
        <v>9.662157120087203</v>
      </c>
      <c r="L12" s="210">
        <f>AVERAGE($K$4:K12)</f>
        <v>6.829477860899588</v>
      </c>
      <c r="M12" s="153">
        <f>SUM($G$4:G12)</f>
        <v>-1337.332515812468</v>
      </c>
      <c r="N12" s="228">
        <f t="shared" si="4"/>
        <v>-1.2009991903934116</v>
      </c>
    </row>
    <row r="13" spans="1:14" ht="12.75">
      <c r="A13" s="15">
        <v>10</v>
      </c>
      <c r="B13" s="70">
        <v>13000</v>
      </c>
      <c r="C13" s="217">
        <f t="shared" si="0"/>
        <v>23551.527518223495</v>
      </c>
      <c r="D13" s="218">
        <f t="shared" si="1"/>
        <v>498.4557388070935</v>
      </c>
      <c r="E13" s="147">
        <f>$B$23*(B5/C5)+(1-$B$23)*E5</f>
        <v>0.6826867940998727</v>
      </c>
      <c r="F13" s="224">
        <f t="shared" si="6"/>
        <v>16420.352019523252</v>
      </c>
      <c r="G13" s="102">
        <f t="shared" si="2"/>
        <v>3420.3520195232522</v>
      </c>
      <c r="H13" s="103">
        <f>SUMSQ($G$4:G13)/A13</f>
        <v>3659893.6158763645</v>
      </c>
      <c r="I13" s="103">
        <f t="shared" si="3"/>
        <v>3420.3520195232522</v>
      </c>
      <c r="J13" s="105">
        <f>SUM($I$4:I13)/A13</f>
        <v>1344.2001275064863</v>
      </c>
      <c r="K13" s="103">
        <f t="shared" si="5"/>
        <v>26.310400150178864</v>
      </c>
      <c r="L13" s="210">
        <f>AVERAGE($K$4:K13)</f>
        <v>8.777570089827515</v>
      </c>
      <c r="M13" s="153">
        <f>SUM($G$4:G13)</f>
        <v>2083.019503710784</v>
      </c>
      <c r="N13" s="228">
        <f t="shared" si="4"/>
        <v>1.549634954710814</v>
      </c>
    </row>
    <row r="14" spans="1:14" ht="12.75">
      <c r="A14" s="15">
        <v>11</v>
      </c>
      <c r="B14" s="70">
        <v>32000</v>
      </c>
      <c r="C14" s="217">
        <f t="shared" si="0"/>
        <v>24379.09189673578</v>
      </c>
      <c r="D14" s="218">
        <f t="shared" si="1"/>
        <v>564.2774667481318</v>
      </c>
      <c r="E14" s="147">
        <f>$B$23*(B6/C6)+(1-$B$23)*E6</f>
        <v>1.170400441711388</v>
      </c>
      <c r="F14" s="224">
        <f t="shared" si="6"/>
        <v>28148.111027180086</v>
      </c>
      <c r="G14" s="102">
        <f t="shared" si="2"/>
        <v>-3851.8889728199138</v>
      </c>
      <c r="H14" s="103">
        <f>SUMSQ($G$4:G14)/A14</f>
        <v>4675998.619790481</v>
      </c>
      <c r="I14" s="103">
        <f t="shared" si="3"/>
        <v>3851.8889728199138</v>
      </c>
      <c r="J14" s="105">
        <f>SUM($I$4:I14)/A14</f>
        <v>1572.171840716798</v>
      </c>
      <c r="K14" s="103">
        <f t="shared" si="5"/>
        <v>12.03715304006223</v>
      </c>
      <c r="L14" s="210">
        <f>AVERAGE($K$4:K14)</f>
        <v>9.073895812576126</v>
      </c>
      <c r="M14" s="153">
        <f>SUM($G$4:G14)</f>
        <v>-1768.8694691091296</v>
      </c>
      <c r="N14" s="228">
        <f t="shared" si="4"/>
        <v>-1.1251120413800642</v>
      </c>
    </row>
    <row r="15" spans="1:14" ht="13.5" thickBot="1">
      <c r="A15" s="16">
        <v>12</v>
      </c>
      <c r="B15" s="64">
        <v>41000</v>
      </c>
      <c r="C15" s="219">
        <f t="shared" si="0"/>
        <v>24909.599312676342</v>
      </c>
      <c r="D15" s="220">
        <f t="shared" si="1"/>
        <v>557.5234565866181</v>
      </c>
      <c r="E15" s="148">
        <f>$B$23*(B7/C7)+(1-$B$23)*E7</f>
        <v>1.6662826863569837</v>
      </c>
      <c r="F15" s="225">
        <f t="shared" si="6"/>
        <v>41562.70450978046</v>
      </c>
      <c r="G15" s="114">
        <f t="shared" si="2"/>
        <v>562.7045097804585</v>
      </c>
      <c r="H15" s="115">
        <f>SUMSQ($G$4:G15)/A15</f>
        <v>4312718.4319185475</v>
      </c>
      <c r="I15" s="115">
        <f t="shared" si="3"/>
        <v>562.7045097804585</v>
      </c>
      <c r="J15" s="116">
        <f>SUM($I$4:I15)/A15</f>
        <v>1488.0495631387696</v>
      </c>
      <c r="K15" s="115">
        <f t="shared" si="5"/>
        <v>1.3724500238547768</v>
      </c>
      <c r="L15" s="237">
        <f>AVERAGE($K$4:K15)</f>
        <v>8.432108663516013</v>
      </c>
      <c r="M15" s="156">
        <f>SUM($G$4:G15)</f>
        <v>-1206.164959328671</v>
      </c>
      <c r="N15" s="229">
        <f t="shared" si="4"/>
        <v>-0.8105677318868908</v>
      </c>
    </row>
    <row r="16" spans="1:14" ht="12.75">
      <c r="A16" s="17">
        <v>13</v>
      </c>
      <c r="B16" s="118"/>
      <c r="C16" s="33"/>
      <c r="D16" s="33"/>
      <c r="E16" s="86">
        <f>$B$23*(B12/C12)+(1-$B$23)*E12</f>
        <v>0.47159946097298666</v>
      </c>
      <c r="F16" s="230">
        <f>($C$15+$D$15)*E16</f>
        <v>12010.281370517288</v>
      </c>
      <c r="G16" s="87"/>
      <c r="H16" s="33"/>
      <c r="I16" s="33"/>
      <c r="J16" s="33"/>
      <c r="K16" s="33"/>
      <c r="L16" s="33"/>
      <c r="M16" s="150"/>
      <c r="N16" s="52"/>
    </row>
    <row r="17" spans="1:14" ht="12.75">
      <c r="A17" s="15">
        <v>14</v>
      </c>
      <c r="B17" s="47"/>
      <c r="C17" s="31"/>
      <c r="D17" s="31"/>
      <c r="E17" s="68">
        <f>$B$23*(B13/C13)+(1-$B$23)*E13</f>
        <v>0.6696162329008633</v>
      </c>
      <c r="F17" s="231">
        <f>E17*($C$15+2*$D$15)</f>
        <v>17426.525568331064</v>
      </c>
      <c r="G17" s="80"/>
      <c r="H17" s="31"/>
      <c r="I17" s="31"/>
      <c r="J17" s="31"/>
      <c r="K17" s="31"/>
      <c r="L17" s="31"/>
      <c r="M17" s="151"/>
      <c r="N17" s="40"/>
    </row>
    <row r="18" spans="1:14" ht="12.75">
      <c r="A18" s="15">
        <v>15</v>
      </c>
      <c r="B18" s="47"/>
      <c r="C18" s="31"/>
      <c r="D18" s="31"/>
      <c r="E18" s="68">
        <f>$B$23*(B14/C14)+(1-$B$23)*E14</f>
        <v>1.18462041385072</v>
      </c>
      <c r="F18" s="231">
        <f>E18*($C$15+3*$D$15)</f>
        <v>31489.780850257626</v>
      </c>
      <c r="G18" s="80"/>
      <c r="H18" s="31"/>
      <c r="I18" s="31"/>
      <c r="J18" s="31"/>
      <c r="K18" s="31"/>
      <c r="L18" s="31"/>
      <c r="M18" s="151"/>
      <c r="N18" s="40"/>
    </row>
    <row r="19" spans="1:14" ht="13.5" thickBot="1">
      <c r="A19" s="16">
        <v>16</v>
      </c>
      <c r="B19" s="62"/>
      <c r="C19" s="63"/>
      <c r="D19" s="63"/>
      <c r="E19" s="69">
        <f>$B$23*(B15/C15)+(1-$B$23)*E15</f>
        <v>1.664249598419898</v>
      </c>
      <c r="F19" s="232">
        <f>E19*($C$15+4*$D$15)</f>
        <v>45167.22340785798</v>
      </c>
      <c r="G19" s="233"/>
      <c r="H19" s="63"/>
      <c r="I19" s="63"/>
      <c r="J19" s="63"/>
      <c r="K19" s="63"/>
      <c r="L19" s="63"/>
      <c r="M19" s="152"/>
      <c r="N19" s="65"/>
    </row>
    <row r="20" ht="13.5" thickBot="1"/>
    <row r="21" spans="1:6" ht="20.25">
      <c r="A21" s="135" t="s">
        <v>25</v>
      </c>
      <c r="B21" s="139">
        <v>0.1</v>
      </c>
      <c r="D21" s="144" t="s">
        <v>94</v>
      </c>
      <c r="E21" s="5"/>
      <c r="F21" s="6"/>
    </row>
    <row r="22" spans="1:6" ht="20.25">
      <c r="A22" s="140" t="s">
        <v>26</v>
      </c>
      <c r="B22" s="141">
        <v>0.2</v>
      </c>
      <c r="D22" s="144" t="s">
        <v>95</v>
      </c>
      <c r="E22" s="5"/>
      <c r="F22" s="6"/>
    </row>
    <row r="23" spans="1:6" ht="21" thickBot="1">
      <c r="A23" s="142" t="s">
        <v>27</v>
      </c>
      <c r="B23" s="143">
        <v>0.1</v>
      </c>
      <c r="C23" s="5"/>
      <c r="D23" s="144" t="s">
        <v>96</v>
      </c>
      <c r="E23" s="5"/>
      <c r="F23" s="6"/>
    </row>
    <row r="24" spans="3:6" ht="12.75">
      <c r="C24" s="5"/>
      <c r="D24" s="5"/>
      <c r="E24" s="5"/>
      <c r="F24" s="6"/>
    </row>
    <row r="25" spans="3:6" ht="12.75">
      <c r="C25" s="5"/>
      <c r="D25" s="5"/>
      <c r="E25" s="5"/>
      <c r="F25" s="6"/>
    </row>
    <row r="26" spans="3:6" ht="12.75">
      <c r="C26" s="5"/>
      <c r="D26" s="5"/>
      <c r="E26" s="5"/>
      <c r="F26" s="6"/>
    </row>
    <row r="27" spans="3:6" ht="12.75">
      <c r="C27" s="5"/>
      <c r="D27" s="5"/>
      <c r="E27" s="5"/>
      <c r="F27" s="6"/>
    </row>
    <row r="28" spans="3:6" ht="12.75">
      <c r="C28" s="5"/>
      <c r="D28" s="5"/>
      <c r="E28" s="5"/>
      <c r="F28" s="6"/>
    </row>
    <row r="29" spans="3:6" ht="12.75">
      <c r="C29" s="5"/>
      <c r="D29" s="5"/>
      <c r="E29" s="5"/>
      <c r="F29" s="6"/>
    </row>
    <row r="30" spans="3:6" ht="12.75">
      <c r="C30" s="5"/>
      <c r="D30" s="5"/>
      <c r="E30" s="5"/>
      <c r="F30" s="6"/>
    </row>
    <row r="31" spans="3:6" ht="12.75">
      <c r="C31" s="5"/>
      <c r="D31" s="5"/>
      <c r="E31" s="5"/>
      <c r="F31" s="6"/>
    </row>
    <row r="32" spans="3:6" ht="12.75">
      <c r="C32" s="5"/>
      <c r="D32" s="5"/>
      <c r="E32" s="5"/>
      <c r="F32" s="6"/>
    </row>
    <row r="33" spans="2:5" ht="12.75">
      <c r="B33" s="5"/>
      <c r="C33" s="5"/>
      <c r="D33" s="5"/>
      <c r="E33" s="5"/>
    </row>
    <row r="37" spans="3:5" ht="12.75">
      <c r="C37" s="5"/>
      <c r="D37" s="5"/>
      <c r="E37" s="5"/>
    </row>
    <row r="38" spans="3:5" ht="12.75">
      <c r="C38" s="5"/>
      <c r="D38" s="5"/>
      <c r="E38" s="5"/>
    </row>
    <row r="39" spans="3:5" ht="12.75">
      <c r="C39" s="5"/>
      <c r="D39" s="5"/>
      <c r="E39" s="5"/>
    </row>
    <row r="40" spans="3:5" ht="12.75">
      <c r="C40" s="5"/>
      <c r="D40" s="5"/>
      <c r="E40" s="5"/>
    </row>
  </sheetData>
  <sheetProtection/>
  <printOptions/>
  <pageMargins left="0.75" right="0.75" top="1" bottom="1" header="0.5" footer="0.5"/>
  <pageSetup horizontalDpi="300" verticalDpi="300" orientation="landscape" scale="87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J19"/>
  <sheetViews>
    <sheetView zoomScalePageLayoutView="0" workbookViewId="0" topLeftCell="A1">
      <selection activeCell="D4" sqref="D4"/>
    </sheetView>
  </sheetViews>
  <sheetFormatPr defaultColWidth="9.140625" defaultRowHeight="12.75"/>
  <cols>
    <col min="3" max="3" width="15.00390625" style="0" customWidth="1"/>
    <col min="4" max="4" width="16.421875" style="0" customWidth="1"/>
    <col min="5" max="5" width="15.140625" style="0" customWidth="1"/>
    <col min="6" max="6" width="13.140625" style="0" customWidth="1"/>
  </cols>
  <sheetData>
    <row r="1" ht="15">
      <c r="A1" s="76" t="s">
        <v>67</v>
      </c>
    </row>
    <row r="2" ht="15.75" thickBot="1">
      <c r="A2" s="76" t="s">
        <v>69</v>
      </c>
    </row>
    <row r="3" spans="1:6" ht="41.25" customHeight="1" thickBot="1">
      <c r="A3" s="35" t="s">
        <v>51</v>
      </c>
      <c r="B3" s="35" t="s">
        <v>50</v>
      </c>
      <c r="C3" s="36" t="s">
        <v>91</v>
      </c>
      <c r="D3" s="36" t="s">
        <v>92</v>
      </c>
      <c r="E3" s="36" t="s">
        <v>87</v>
      </c>
      <c r="F3" s="37" t="s">
        <v>88</v>
      </c>
    </row>
    <row r="4" spans="1:10" ht="12.75">
      <c r="A4" s="71">
        <v>1</v>
      </c>
      <c r="B4" s="72">
        <v>8000</v>
      </c>
      <c r="C4" s="72"/>
      <c r="D4" s="72">
        <f>(Regression!$B$17+Regression!$B$18*deseasonalized!A4)</f>
        <v>18962.7976190476</v>
      </c>
      <c r="E4" s="73">
        <f>B4/D4</f>
        <v>0.42187867849015187</v>
      </c>
      <c r="F4" s="145">
        <f>(E4+E8+E12)/3</f>
        <v>0.47168067193938795</v>
      </c>
      <c r="G4" s="7"/>
      <c r="H4" s="7"/>
      <c r="I4" s="7"/>
      <c r="J4" s="8"/>
    </row>
    <row r="5" spans="1:10" ht="12.75">
      <c r="A5" s="15">
        <v>2</v>
      </c>
      <c r="B5" s="20">
        <v>13000</v>
      </c>
      <c r="C5" s="20"/>
      <c r="D5" s="20">
        <f>(Regression!$B$17+Regression!$B$18*deseasonalized!A5)</f>
        <v>19486.607142857127</v>
      </c>
      <c r="E5" s="32">
        <f aca="true" t="shared" si="0" ref="E5:E15">B5/D5</f>
        <v>0.667124856815579</v>
      </c>
      <c r="F5" s="146">
        <f>(E5+E9+E13)/3</f>
        <v>0.6834044360150626</v>
      </c>
      <c r="G5" s="7"/>
      <c r="H5" s="7"/>
      <c r="I5" s="7"/>
      <c r="J5" s="8"/>
    </row>
    <row r="6" spans="1:10" ht="12.75">
      <c r="A6" s="15">
        <v>3</v>
      </c>
      <c r="B6" s="20">
        <v>23000</v>
      </c>
      <c r="C6" s="20">
        <f>(B4+B8+2*SUM(B5:B7))/8</f>
        <v>19750</v>
      </c>
      <c r="D6" s="20">
        <f>(Regression!$B$17+Regression!$B$18*deseasonalized!A6)</f>
        <v>20010.416666666653</v>
      </c>
      <c r="E6" s="32">
        <f t="shared" si="0"/>
        <v>1.1494013534617395</v>
      </c>
      <c r="F6" s="146">
        <f>(E6+E10+E14)/3</f>
        <v>1.1707081255011917</v>
      </c>
      <c r="G6" s="7"/>
      <c r="H6" s="7"/>
      <c r="I6" s="7"/>
      <c r="J6" s="8"/>
    </row>
    <row r="7" spans="1:10" ht="12.75">
      <c r="A7" s="15">
        <v>4</v>
      </c>
      <c r="B7" s="20">
        <v>34000</v>
      </c>
      <c r="C7" s="20">
        <f aca="true" t="shared" si="1" ref="C7:C13">(B5+B9+2*SUM(B6:B8))/8</f>
        <v>20625</v>
      </c>
      <c r="D7" s="20">
        <f>(Regression!$B$17+Regression!$B$18*deseasonalized!A7)</f>
        <v>20534.22619047618</v>
      </c>
      <c r="E7" s="32">
        <f t="shared" si="0"/>
        <v>1.655772157402711</v>
      </c>
      <c r="F7" s="146">
        <f>(E7+E11+E15)/3</f>
        <v>1.6644198124048515</v>
      </c>
      <c r="G7" s="7"/>
      <c r="H7" s="7"/>
      <c r="I7" s="7"/>
      <c r="J7" s="8"/>
    </row>
    <row r="8" spans="1:10" ht="12.75">
      <c r="A8" s="15">
        <v>5</v>
      </c>
      <c r="B8" s="20">
        <v>10000</v>
      </c>
      <c r="C8" s="20">
        <f t="shared" si="1"/>
        <v>21250</v>
      </c>
      <c r="D8" s="20">
        <f>(Regression!$B$17+Regression!$B$18*deseasonalized!A8)</f>
        <v>21058.035714285706</v>
      </c>
      <c r="E8" s="32">
        <f t="shared" si="0"/>
        <v>0.4748781004875982</v>
      </c>
      <c r="F8" s="74"/>
      <c r="G8" s="7"/>
      <c r="H8" s="7"/>
      <c r="I8" s="7"/>
      <c r="J8" s="8"/>
    </row>
    <row r="9" spans="1:10" ht="12.75">
      <c r="A9" s="15">
        <v>6</v>
      </c>
      <c r="B9" s="20">
        <v>18000</v>
      </c>
      <c r="C9" s="20">
        <f t="shared" si="1"/>
        <v>21750</v>
      </c>
      <c r="D9" s="20">
        <f>(Regression!$B$17+Regression!$B$18*deseasonalized!A9)</f>
        <v>21581.845238095233</v>
      </c>
      <c r="E9" s="32">
        <f t="shared" si="0"/>
        <v>0.8340343377232299</v>
      </c>
      <c r="F9" s="74"/>
      <c r="G9" s="7"/>
      <c r="H9" s="7"/>
      <c r="I9" s="7"/>
      <c r="J9" s="8"/>
    </row>
    <row r="10" spans="1:10" ht="12.75">
      <c r="A10" s="15">
        <v>7</v>
      </c>
      <c r="B10" s="20">
        <v>23000</v>
      </c>
      <c r="C10" s="20">
        <f t="shared" si="1"/>
        <v>22500</v>
      </c>
      <c r="D10" s="20">
        <f>(Regression!$B$17+Regression!$B$18*deseasonalized!A10)</f>
        <v>22105.65476190476</v>
      </c>
      <c r="E10" s="32">
        <f t="shared" si="0"/>
        <v>1.0404577583305286</v>
      </c>
      <c r="F10" s="74"/>
      <c r="G10" s="7"/>
      <c r="H10" s="7"/>
      <c r="I10" s="7"/>
      <c r="J10" s="8"/>
    </row>
    <row r="11" spans="1:10" ht="12.75">
      <c r="A11" s="15">
        <v>8</v>
      </c>
      <c r="B11" s="20">
        <v>38000</v>
      </c>
      <c r="C11" s="20">
        <f t="shared" si="1"/>
        <v>22125</v>
      </c>
      <c r="D11" s="20">
        <f>(Regression!$B$17+Regression!$B$18*deseasonalized!A11)</f>
        <v>22629.464285714286</v>
      </c>
      <c r="E11" s="32">
        <f t="shared" si="0"/>
        <v>1.6792266719274018</v>
      </c>
      <c r="F11" s="74"/>
      <c r="G11" s="7"/>
      <c r="H11" s="7"/>
      <c r="I11" s="7"/>
      <c r="J11" s="8"/>
    </row>
    <row r="12" spans="1:10" ht="12.75">
      <c r="A12" s="15">
        <v>9</v>
      </c>
      <c r="B12" s="20">
        <v>12000</v>
      </c>
      <c r="C12" s="20">
        <f t="shared" si="1"/>
        <v>22625</v>
      </c>
      <c r="D12" s="20">
        <f>(Regression!$B$17+Regression!$B$18*deseasonalized!A12)</f>
        <v>23153.273809523813</v>
      </c>
      <c r="E12" s="32">
        <f t="shared" si="0"/>
        <v>0.5182852368404138</v>
      </c>
      <c r="F12" s="74"/>
      <c r="G12" s="7"/>
      <c r="H12" s="7"/>
      <c r="I12" s="7"/>
      <c r="J12" s="8"/>
    </row>
    <row r="13" spans="1:10" ht="12.75">
      <c r="A13" s="15">
        <v>10</v>
      </c>
      <c r="B13" s="20">
        <v>13000</v>
      </c>
      <c r="C13" s="20">
        <f t="shared" si="1"/>
        <v>24125</v>
      </c>
      <c r="D13" s="20">
        <f>(Regression!$B$17+Regression!$B$18*deseasonalized!A13)</f>
        <v>23677.08333333334</v>
      </c>
      <c r="E13" s="32">
        <f t="shared" si="0"/>
        <v>0.5490541135063791</v>
      </c>
      <c r="F13" s="74"/>
      <c r="G13" s="7"/>
      <c r="H13" s="7"/>
      <c r="I13" s="7"/>
      <c r="J13" s="8"/>
    </row>
    <row r="14" spans="1:10" ht="12.75">
      <c r="A14" s="15">
        <v>11</v>
      </c>
      <c r="B14" s="20">
        <v>32000</v>
      </c>
      <c r="C14" s="20"/>
      <c r="D14" s="20">
        <f>(Regression!$B$17+Regression!$B$18*deseasonalized!A14)</f>
        <v>24200.892857142866</v>
      </c>
      <c r="E14" s="32">
        <f t="shared" si="0"/>
        <v>1.3222652647113073</v>
      </c>
      <c r="F14" s="74"/>
      <c r="G14" s="7"/>
      <c r="H14" s="7"/>
      <c r="I14" s="7"/>
      <c r="J14" s="8"/>
    </row>
    <row r="15" spans="1:10" ht="13.5" thickBot="1">
      <c r="A15" s="16">
        <v>12</v>
      </c>
      <c r="B15" s="22">
        <v>41000</v>
      </c>
      <c r="C15" s="22"/>
      <c r="D15" s="22">
        <f>(Regression!$B$17+Regression!$B$18*deseasonalized!A15)</f>
        <v>24724.70238095239</v>
      </c>
      <c r="E15" s="41">
        <f t="shared" si="0"/>
        <v>1.6582606078844413</v>
      </c>
      <c r="F15" s="75"/>
      <c r="G15" s="7"/>
      <c r="H15" s="7"/>
      <c r="I15" s="7"/>
      <c r="J15" s="8"/>
    </row>
    <row r="16" spans="2:6" ht="12.75">
      <c r="B16" s="10"/>
      <c r="D16" s="9"/>
      <c r="E16" s="10"/>
      <c r="F16" s="7"/>
    </row>
    <row r="17" ht="12.75">
      <c r="D17" s="9"/>
    </row>
    <row r="18" ht="12.75">
      <c r="D18" s="9"/>
    </row>
    <row r="19" ht="12.75">
      <c r="D19" s="9"/>
    </row>
  </sheetData>
  <sheetProtection/>
  <printOptions/>
  <pageMargins left="0.75" right="0.75" top="1" bottom="1" header="0.5" footer="0.5"/>
  <pageSetup horizontalDpi="300" verticalDpi="300" orientation="portrait" r:id="rId7"/>
  <headerFooter alignWithMargins="0">
    <oddHeader>&amp;C&amp;A</oddHeader>
  </headerFooter>
  <drawing r:id="rId6"/>
  <legacyDrawing r:id="rId5"/>
  <oleObjects>
    <oleObject progId="Equation.3" shapeId="224911" r:id="rId1"/>
    <oleObject progId="Equation.3" shapeId="224913" r:id="rId2"/>
    <oleObject progId="Equation.3" shapeId="232705" r:id="rId3"/>
    <oleObject progId="Equation.3" shapeId="237793" r:id="rId4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4.57421875" style="0" customWidth="1"/>
    <col min="2" max="2" width="10.28125" style="0" customWidth="1"/>
    <col min="3" max="4" width="11.140625" style="0" bestFit="1" customWidth="1"/>
    <col min="5" max="9" width="9.28125" style="0" bestFit="1" customWidth="1"/>
  </cols>
  <sheetData>
    <row r="1" ht="12.75">
      <c r="A1" s="42" t="s">
        <v>68</v>
      </c>
    </row>
    <row r="2" ht="13.5" thickBot="1">
      <c r="H2" s="5"/>
    </row>
    <row r="3" spans="1:8" ht="12.75">
      <c r="A3" s="4" t="s">
        <v>0</v>
      </c>
      <c r="B3" s="4"/>
      <c r="H3" s="5"/>
    </row>
    <row r="4" spans="1:8" ht="12.75">
      <c r="A4" s="1" t="s">
        <v>1</v>
      </c>
      <c r="B4" s="1">
        <v>0.9580652365786592</v>
      </c>
      <c r="H4" s="5"/>
    </row>
    <row r="5" spans="1:8" ht="12.75">
      <c r="A5" s="1" t="s">
        <v>2</v>
      </c>
      <c r="B5" s="1">
        <v>0.9178889975405221</v>
      </c>
      <c r="H5" s="5"/>
    </row>
    <row r="6" spans="1:2" ht="12.75">
      <c r="A6" s="1" t="s">
        <v>3</v>
      </c>
      <c r="B6" s="1">
        <v>0.9042038304639425</v>
      </c>
    </row>
    <row r="7" spans="1:2" ht="12.75">
      <c r="A7" s="1" t="s">
        <v>4</v>
      </c>
      <c r="B7" s="1">
        <v>414.50331244966674</v>
      </c>
    </row>
    <row r="8" spans="1:2" ht="13.5" thickBot="1">
      <c r="A8" s="2" t="s">
        <v>5</v>
      </c>
      <c r="B8" s="2">
        <v>8</v>
      </c>
    </row>
    <row r="10" ht="13.5" thickBot="1">
      <c r="A10" t="s">
        <v>6</v>
      </c>
    </row>
    <row r="11" spans="1:6" ht="12.75">
      <c r="A11" s="3"/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</row>
    <row r="12" spans="1:6" ht="12.75">
      <c r="A12" s="1" t="s">
        <v>7</v>
      </c>
      <c r="B12" s="1">
        <v>1</v>
      </c>
      <c r="C12" s="1">
        <v>11523809.523809524</v>
      </c>
      <c r="D12" s="1">
        <v>11523809.523809524</v>
      </c>
      <c r="E12" s="1">
        <v>67.07181522915916</v>
      </c>
      <c r="F12" s="1">
        <v>0.00017860862469554794</v>
      </c>
    </row>
    <row r="13" spans="1:6" ht="12.75">
      <c r="A13" s="1" t="s">
        <v>8</v>
      </c>
      <c r="B13" s="1">
        <v>6</v>
      </c>
      <c r="C13" s="1">
        <v>1030877.9761904762</v>
      </c>
      <c r="D13" s="1">
        <v>171812.99603174604</v>
      </c>
      <c r="E13" s="1"/>
      <c r="F13" s="1"/>
    </row>
    <row r="14" spans="1:6" ht="13.5" thickBot="1">
      <c r="A14" s="2" t="s">
        <v>9</v>
      </c>
      <c r="B14" s="2">
        <v>7</v>
      </c>
      <c r="C14" s="2">
        <v>12554687.5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4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10</v>
      </c>
      <c r="B17" s="66">
        <v>18438.988095238074</v>
      </c>
      <c r="C17" s="1">
        <v>440.80870787753844</v>
      </c>
      <c r="D17" s="1">
        <v>41.82990890543076</v>
      </c>
      <c r="E17" s="1">
        <v>1.2487616471728868E-08</v>
      </c>
      <c r="F17" s="1">
        <v>17360.36725503863</v>
      </c>
      <c r="G17" s="1">
        <v>19517.608935437518</v>
      </c>
      <c r="H17" s="1">
        <v>17360.36725503863</v>
      </c>
      <c r="I17" s="1">
        <v>19517.608935437518</v>
      </c>
    </row>
    <row r="18" spans="1:9" ht="13.5" thickBot="1">
      <c r="A18" s="2" t="s">
        <v>23</v>
      </c>
      <c r="B18" s="67">
        <v>523.8095238095265</v>
      </c>
      <c r="C18" s="2">
        <v>63.95924968136723</v>
      </c>
      <c r="D18" s="2">
        <v>8.18973841030102</v>
      </c>
      <c r="E18" s="2">
        <v>0.0001786086246955427</v>
      </c>
      <c r="F18" s="2">
        <v>367.3067633218458</v>
      </c>
      <c r="G18" s="2">
        <v>680.3122842972072</v>
      </c>
      <c r="H18" s="2">
        <v>367.3067633218458</v>
      </c>
      <c r="I18" s="2">
        <v>680.3122842972072</v>
      </c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Header>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6.28125" style="0" customWidth="1"/>
  </cols>
  <sheetData>
    <row r="1" ht="12.75">
      <c r="A1" s="11" t="s">
        <v>93</v>
      </c>
    </row>
    <row r="2" ht="13.5" thickBot="1"/>
    <row r="3" spans="1:5" ht="12.75">
      <c r="A3" s="270" t="s">
        <v>73</v>
      </c>
      <c r="B3" s="268" t="s">
        <v>74</v>
      </c>
      <c r="C3" s="266" t="s">
        <v>75</v>
      </c>
      <c r="D3" s="264" t="s">
        <v>76</v>
      </c>
      <c r="E3" s="265"/>
    </row>
    <row r="4" spans="1:5" ht="13.5" thickBot="1">
      <c r="A4" s="271"/>
      <c r="B4" s="269"/>
      <c r="C4" s="267"/>
      <c r="D4" s="89" t="s">
        <v>77</v>
      </c>
      <c r="E4" s="90" t="s">
        <v>78</v>
      </c>
    </row>
    <row r="5" spans="1:5" ht="12.75">
      <c r="A5" s="87" t="s">
        <v>79</v>
      </c>
      <c r="B5" s="24">
        <f>'Figure7.5 Moving Average'!H14</f>
        <v>9718.75</v>
      </c>
      <c r="C5" s="88">
        <f>'Figure7.5 Moving Average'!J14</f>
        <v>49.13763644126001</v>
      </c>
      <c r="D5" s="86">
        <f>MIN('Figure7.5 Moving Average'!$K$7:$K$14)</f>
        <v>-1.517684887459807</v>
      </c>
      <c r="E5" s="38">
        <f>MAX('Figure7.5 Moving Average'!K7:K14)</f>
        <v>2.2075471698113205</v>
      </c>
    </row>
    <row r="6" spans="1:5" ht="12.75">
      <c r="A6" s="80" t="s">
        <v>80</v>
      </c>
      <c r="B6" s="20">
        <f>'Figure7.6 Smoothing'!H15</f>
        <v>10208.443439311735</v>
      </c>
      <c r="C6" s="84">
        <f>'Figure7.6 Smoothing'!J15</f>
        <v>59.07905056767239</v>
      </c>
      <c r="D6" s="68">
        <f>MIN('Figure7.6 Smoothing'!K4:K15)</f>
        <v>-1.3779143314254894</v>
      </c>
      <c r="E6" s="39">
        <f>MAX('Figure7.6 Smoothing'!K4:K15)</f>
        <v>2.2533449582508966</v>
      </c>
    </row>
    <row r="7" spans="1:5" ht="12.75">
      <c r="A7" s="80" t="s">
        <v>81</v>
      </c>
      <c r="B7" s="20">
        <f>'Figure7.7 Holt''s'!I15</f>
        <v>8835.844310835235</v>
      </c>
      <c r="C7" s="84">
        <f>'Figure7.7 Holt''s'!K15</f>
        <v>51.678403538498316</v>
      </c>
      <c r="D7" s="68">
        <f>MIN('Figure7.7 Holt''s'!L4:L15)</f>
        <v>-2.1497486500911616</v>
      </c>
      <c r="E7" s="39">
        <f>MAX('Figure7.7 Holt''s'!L4:L15)</f>
        <v>2</v>
      </c>
    </row>
    <row r="8" spans="1:5" ht="13.5" thickBot="1">
      <c r="A8" s="81" t="s">
        <v>82</v>
      </c>
      <c r="B8" s="22">
        <f>'Figure7.8 Winter'!J15</f>
        <v>1488.0495631387696</v>
      </c>
      <c r="C8" s="85">
        <f>'Figure7.8 Winter'!L15</f>
        <v>8.432108663516013</v>
      </c>
      <c r="D8" s="82" t="e">
        <f>MIN('Figure7.8 Winter'!#REF!)</f>
        <v>#REF!</v>
      </c>
      <c r="E8" s="83" t="e">
        <f>MAX('Figure7.8 Winter'!#REF!)</f>
        <v>#REF!</v>
      </c>
    </row>
  </sheetData>
  <sheetProtection/>
  <mergeCells count="4">
    <mergeCell ref="D3:E3"/>
    <mergeCell ref="C3:C4"/>
    <mergeCell ref="B3:B4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showGridLines="0" tabSelected="1" zoomScale="130" zoomScaleNormal="130" zoomScalePageLayoutView="0" workbookViewId="0" topLeftCell="A1">
      <selection activeCell="D4" sqref="D4"/>
    </sheetView>
  </sheetViews>
  <sheetFormatPr defaultColWidth="9.140625" defaultRowHeight="12.75"/>
  <cols>
    <col min="1" max="1" width="9.8515625" style="0" customWidth="1"/>
    <col min="2" max="2" width="11.28125" style="0" customWidth="1"/>
    <col min="3" max="3" width="14.57421875" style="0" customWidth="1"/>
    <col min="4" max="4" width="21.7109375" style="0" customWidth="1"/>
  </cols>
  <sheetData>
    <row r="1" spans="1:3" s="12" customFormat="1" ht="27.75" thickBot="1">
      <c r="A1" s="60" t="s">
        <v>70</v>
      </c>
      <c r="B1" s="35" t="s">
        <v>71</v>
      </c>
      <c r="C1" s="277" t="s">
        <v>30</v>
      </c>
    </row>
    <row r="2" spans="1:9" ht="12.75">
      <c r="A2" s="17">
        <v>1</v>
      </c>
      <c r="B2" s="172">
        <v>8000</v>
      </c>
      <c r="C2" s="25"/>
      <c r="D2" s="9"/>
      <c r="E2" s="6"/>
      <c r="F2" s="8"/>
      <c r="G2" s="7"/>
      <c r="H2" s="7"/>
      <c r="I2" s="8"/>
    </row>
    <row r="3" spans="1:9" ht="12.75">
      <c r="A3" s="15">
        <v>2</v>
      </c>
      <c r="B3" s="173">
        <v>13000</v>
      </c>
      <c r="C3" s="77"/>
      <c r="D3" s="9"/>
      <c r="E3" s="6"/>
      <c r="F3" s="8"/>
      <c r="G3" s="7"/>
      <c r="H3" s="7"/>
      <c r="I3" s="8"/>
    </row>
    <row r="4" spans="1:9" ht="12.75">
      <c r="A4" s="200">
        <v>3</v>
      </c>
      <c r="B4" s="173">
        <v>23000</v>
      </c>
      <c r="C4" s="201">
        <f aca="true" t="shared" si="0" ref="C4:C11">(B2+B6+2*SUM(B3:B5))/8</f>
        <v>19750</v>
      </c>
      <c r="D4" s="9"/>
      <c r="E4" s="6"/>
      <c r="F4" s="8"/>
      <c r="G4" s="7"/>
      <c r="H4" s="7"/>
      <c r="I4" s="8"/>
    </row>
    <row r="5" spans="1:9" ht="12.75">
      <c r="A5" s="200">
        <v>4</v>
      </c>
      <c r="B5" s="173">
        <v>34000</v>
      </c>
      <c r="C5" s="201">
        <f t="shared" si="0"/>
        <v>20625</v>
      </c>
      <c r="D5" s="9"/>
      <c r="E5" s="6"/>
      <c r="F5" s="8"/>
      <c r="G5" s="7"/>
      <c r="H5" s="7"/>
      <c r="I5" s="8"/>
    </row>
    <row r="6" spans="1:9" ht="12.75">
      <c r="A6" s="200">
        <v>5</v>
      </c>
      <c r="B6" s="173">
        <v>10000</v>
      </c>
      <c r="C6" s="201">
        <f t="shared" si="0"/>
        <v>21250</v>
      </c>
      <c r="D6" s="9"/>
      <c r="E6" s="6"/>
      <c r="F6" s="7"/>
      <c r="G6" s="7"/>
      <c r="H6" s="7"/>
      <c r="I6" s="8"/>
    </row>
    <row r="7" spans="1:9" ht="12.75">
      <c r="A7" s="200">
        <v>6</v>
      </c>
      <c r="B7" s="173">
        <v>18000</v>
      </c>
      <c r="C7" s="201">
        <f t="shared" si="0"/>
        <v>21750</v>
      </c>
      <c r="D7" s="9"/>
      <c r="E7" s="6"/>
      <c r="F7" s="7"/>
      <c r="G7" s="7"/>
      <c r="H7" s="7"/>
      <c r="I7" s="8"/>
    </row>
    <row r="8" spans="1:9" ht="12.75">
      <c r="A8" s="200">
        <v>7</v>
      </c>
      <c r="B8" s="173">
        <v>23000</v>
      </c>
      <c r="C8" s="201">
        <f t="shared" si="0"/>
        <v>22500</v>
      </c>
      <c r="D8" s="9"/>
      <c r="E8" s="6"/>
      <c r="F8" s="7"/>
      <c r="G8" s="7"/>
      <c r="H8" s="7"/>
      <c r="I8" s="8"/>
    </row>
    <row r="9" spans="1:9" ht="12.75">
      <c r="A9" s="200">
        <v>8</v>
      </c>
      <c r="B9" s="173">
        <v>38000</v>
      </c>
      <c r="C9" s="201">
        <f t="shared" si="0"/>
        <v>22125</v>
      </c>
      <c r="D9" s="9"/>
      <c r="E9" s="6"/>
      <c r="F9" s="7"/>
      <c r="G9" s="7"/>
      <c r="H9" s="7"/>
      <c r="I9" s="8"/>
    </row>
    <row r="10" spans="1:9" ht="12.75">
      <c r="A10" s="200">
        <v>9</v>
      </c>
      <c r="B10" s="173">
        <v>12000</v>
      </c>
      <c r="C10" s="201">
        <f t="shared" si="0"/>
        <v>22625</v>
      </c>
      <c r="D10" s="9"/>
      <c r="E10" s="6"/>
      <c r="F10" s="7"/>
      <c r="G10" s="7"/>
      <c r="H10" s="7"/>
      <c r="I10" s="8"/>
    </row>
    <row r="11" spans="1:9" ht="12.75">
      <c r="A11" s="200">
        <v>10</v>
      </c>
      <c r="B11" s="173">
        <v>13000</v>
      </c>
      <c r="C11" s="201">
        <f t="shared" si="0"/>
        <v>24125</v>
      </c>
      <c r="D11" s="9"/>
      <c r="E11" s="6"/>
      <c r="F11" s="7"/>
      <c r="G11" s="7"/>
      <c r="H11" s="7"/>
      <c r="I11" s="8"/>
    </row>
    <row r="12" spans="1:9" ht="12.75">
      <c r="A12" s="15">
        <v>11</v>
      </c>
      <c r="B12" s="173">
        <v>32000</v>
      </c>
      <c r="C12" s="21"/>
      <c r="D12" s="9"/>
      <c r="E12" s="6"/>
      <c r="F12" s="7"/>
      <c r="G12" s="7"/>
      <c r="H12" s="7"/>
      <c r="I12" s="8"/>
    </row>
    <row r="13" spans="1:9" ht="13.5" thickBot="1">
      <c r="A13" s="16">
        <v>12</v>
      </c>
      <c r="B13" s="174">
        <v>41000</v>
      </c>
      <c r="C13" s="23"/>
      <c r="D13" s="9"/>
      <c r="E13" s="6"/>
      <c r="F13" s="7"/>
      <c r="G13" s="7"/>
      <c r="H13" s="7"/>
      <c r="I13" s="8"/>
    </row>
    <row r="14" spans="4:7" ht="12.75">
      <c r="D14" s="9"/>
      <c r="F14" s="7"/>
      <c r="G14" s="5"/>
    </row>
    <row r="15" spans="1:7" ht="15.75">
      <c r="A15" s="19" t="s">
        <v>85</v>
      </c>
      <c r="D15" s="9"/>
      <c r="F15" s="7"/>
      <c r="G15" s="5"/>
    </row>
    <row r="16" spans="4:7" ht="12.75">
      <c r="D16" s="9"/>
      <c r="F16" s="7"/>
      <c r="G16" s="5"/>
    </row>
    <row r="17" spans="4:7" ht="12.75">
      <c r="D17" s="9"/>
      <c r="F17" s="7"/>
      <c r="G17" s="5"/>
    </row>
    <row r="18" spans="4:7" ht="12.75">
      <c r="D18" s="9"/>
      <c r="F18" s="7"/>
      <c r="G18" s="5"/>
    </row>
    <row r="19" spans="4:7" ht="12.75">
      <c r="D19" s="9"/>
      <c r="F19" s="7"/>
      <c r="G19" s="5"/>
    </row>
    <row r="20" spans="4:7" ht="12.75">
      <c r="D20" s="9"/>
      <c r="F20" s="7"/>
      <c r="G20" s="5"/>
    </row>
    <row r="21" spans="4:7" ht="12.75">
      <c r="D21" s="9"/>
      <c r="F21" s="7"/>
      <c r="G21" s="5"/>
    </row>
    <row r="22" spans="4:7" ht="12.75">
      <c r="D22" s="9"/>
      <c r="F22" s="7"/>
      <c r="G22" s="5"/>
    </row>
    <row r="23" spans="1:7" ht="12.75">
      <c r="A23" t="s">
        <v>45</v>
      </c>
      <c r="D23" s="9"/>
      <c r="F23" s="7"/>
      <c r="G23" s="5"/>
    </row>
    <row r="24" spans="1:7" ht="12.75">
      <c r="A24" s="27" t="s">
        <v>42</v>
      </c>
      <c r="B24" t="s">
        <v>43</v>
      </c>
      <c r="F24" s="7"/>
      <c r="G24" s="5"/>
    </row>
    <row r="25" spans="1:7" ht="12.75">
      <c r="A25" s="27" t="s">
        <v>46</v>
      </c>
      <c r="B25" t="s">
        <v>44</v>
      </c>
      <c r="D25" s="9"/>
      <c r="F25" s="7"/>
      <c r="G25" s="5"/>
    </row>
    <row r="26" spans="1:7" ht="12.75">
      <c r="A26" s="27" t="s">
        <v>47</v>
      </c>
      <c r="B26" s="28" t="s">
        <v>48</v>
      </c>
      <c r="D26" s="9"/>
      <c r="F26" s="7"/>
      <c r="G26" s="5"/>
    </row>
    <row r="27" spans="4:7" ht="12.75">
      <c r="D27" s="9"/>
      <c r="G27" s="5"/>
    </row>
    <row r="28" spans="4:7" ht="12.75">
      <c r="D28" s="9"/>
      <c r="G28" s="5"/>
    </row>
    <row r="29" spans="4:7" ht="12.75">
      <c r="D29" s="9"/>
      <c r="G29" s="5"/>
    </row>
    <row r="30" ht="12.75">
      <c r="A30" s="11"/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8"/>
  <sheetViews>
    <sheetView showGridLines="0" zoomScale="130" zoomScaleNormal="130" zoomScalePageLayoutView="0" workbookViewId="0" topLeftCell="A4">
      <selection activeCell="F34" sqref="F34"/>
    </sheetView>
  </sheetViews>
  <sheetFormatPr defaultColWidth="9.140625" defaultRowHeight="12.75"/>
  <cols>
    <col min="1" max="1" width="12.28125" style="0" customWidth="1"/>
    <col min="2" max="2" width="11.7109375" style="0" customWidth="1"/>
    <col min="3" max="3" width="13.00390625" style="0" customWidth="1"/>
    <col min="4" max="4" width="9.7109375" style="0" bestFit="1" customWidth="1"/>
    <col min="5" max="5" width="9.28125" style="0" bestFit="1" customWidth="1"/>
    <col min="6" max="6" width="12.57421875" style="0" customWidth="1"/>
    <col min="7" max="7" width="9.8515625" style="0" customWidth="1"/>
    <col min="8" max="8" width="11.140625" style="0" customWidth="1"/>
    <col min="9" max="9" width="11.421875" style="0" customWidth="1"/>
  </cols>
  <sheetData>
    <row r="1" ht="12.75">
      <c r="A1" s="42" t="s">
        <v>49</v>
      </c>
    </row>
    <row r="2" ht="13.5" thickBot="1"/>
    <row r="3" spans="1:2" ht="12.75">
      <c r="A3" s="4" t="s">
        <v>0</v>
      </c>
      <c r="B3" s="4"/>
    </row>
    <row r="4" spans="1:2" ht="12.75">
      <c r="A4" s="1" t="s">
        <v>1</v>
      </c>
      <c r="B4" s="1">
        <v>0.9580652365786592</v>
      </c>
    </row>
    <row r="5" spans="1:2" ht="12.75">
      <c r="A5" s="179" t="s">
        <v>2</v>
      </c>
      <c r="B5" s="179">
        <v>0.9178889975405221</v>
      </c>
    </row>
    <row r="6" spans="1:2" ht="12.75">
      <c r="A6" s="1" t="s">
        <v>3</v>
      </c>
      <c r="B6" s="1">
        <v>0.9042038304639425</v>
      </c>
    </row>
    <row r="7" spans="1:2" ht="12.75">
      <c r="A7" s="1" t="s">
        <v>4</v>
      </c>
      <c r="B7" s="1">
        <v>414.50331244966674</v>
      </c>
    </row>
    <row r="8" spans="1:2" ht="13.5" thickBot="1">
      <c r="A8" s="2" t="s">
        <v>5</v>
      </c>
      <c r="B8" s="2">
        <v>8</v>
      </c>
    </row>
    <row r="10" ht="13.5" thickBot="1">
      <c r="A10" t="s">
        <v>6</v>
      </c>
    </row>
    <row r="11" spans="1:6" ht="12.75">
      <c r="A11" s="3"/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</row>
    <row r="12" spans="1:6" ht="12.75">
      <c r="A12" s="1" t="s">
        <v>7</v>
      </c>
      <c r="B12" s="1">
        <v>1</v>
      </c>
      <c r="C12" s="1">
        <v>11523809.523809524</v>
      </c>
      <c r="D12" s="1">
        <v>11523809.523809524</v>
      </c>
      <c r="E12" s="1">
        <v>67.07181522915916</v>
      </c>
      <c r="F12" s="1">
        <v>0.00017860862469554794</v>
      </c>
    </row>
    <row r="13" spans="1:6" ht="12.75">
      <c r="A13" s="1" t="s">
        <v>8</v>
      </c>
      <c r="B13" s="1">
        <v>6</v>
      </c>
      <c r="C13" s="1">
        <v>1030877.9761904762</v>
      </c>
      <c r="D13" s="1">
        <v>171812.99603174604</v>
      </c>
      <c r="E13" s="1"/>
      <c r="F13" s="1"/>
    </row>
    <row r="14" spans="1:6" ht="13.5" thickBot="1">
      <c r="A14" s="2" t="s">
        <v>9</v>
      </c>
      <c r="B14" s="2">
        <v>7</v>
      </c>
      <c r="C14" s="2">
        <v>12554687.5</v>
      </c>
      <c r="D14" s="2"/>
      <c r="E14" s="2"/>
      <c r="F14" s="2"/>
    </row>
    <row r="15" ht="13.5" thickBot="1"/>
    <row r="16" spans="1:9" ht="12.75">
      <c r="A16" s="3"/>
      <c r="B16" s="3" t="s">
        <v>16</v>
      </c>
      <c r="C16" s="3" t="s">
        <v>4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.75">
      <c r="A17" s="1" t="s">
        <v>10</v>
      </c>
      <c r="B17" s="29">
        <v>18438.988095238074</v>
      </c>
      <c r="C17" s="1">
        <v>440.80870787753844</v>
      </c>
      <c r="D17" s="1">
        <v>41.82990890543076</v>
      </c>
      <c r="E17" s="1">
        <v>1.2487616471728868E-08</v>
      </c>
      <c r="F17" s="1">
        <v>17360.36725503863</v>
      </c>
      <c r="G17" s="1">
        <v>19517.608935437518</v>
      </c>
      <c r="H17" s="1">
        <v>17360.36725503863</v>
      </c>
      <c r="I17" s="1">
        <v>19517.608935437518</v>
      </c>
    </row>
    <row r="18" spans="1:9" ht="13.5" thickBot="1">
      <c r="A18" s="2" t="s">
        <v>23</v>
      </c>
      <c r="B18" s="30">
        <v>523.8095238095265</v>
      </c>
      <c r="C18" s="2">
        <v>63.95924968136723</v>
      </c>
      <c r="D18" s="2">
        <v>8.18973841030102</v>
      </c>
      <c r="E18" s="2">
        <v>0.0001786086246955427</v>
      </c>
      <c r="F18" s="2">
        <v>367.3067633218458</v>
      </c>
      <c r="G18" s="2">
        <v>680.3122842972072</v>
      </c>
      <c r="H18" s="2">
        <v>367.3067633218458</v>
      </c>
      <c r="I18" s="2">
        <v>680.3122842972072</v>
      </c>
    </row>
  </sheetData>
  <sheetProtection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3"/>
  <sheetViews>
    <sheetView showGridLines="0" zoomScale="130" zoomScaleNormal="130" zoomScalePageLayoutView="0" workbookViewId="0" topLeftCell="A1">
      <selection activeCell="G2" sqref="G2:N13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3" max="3" width="15.28125" style="0" bestFit="1" customWidth="1"/>
    <col min="4" max="4" width="10.28125" style="0" bestFit="1" customWidth="1"/>
    <col min="5" max="5" width="10.140625" style="96" bestFit="1" customWidth="1"/>
    <col min="6" max="6" width="9.140625" style="0" customWidth="1"/>
    <col min="8" max="8" width="12.140625" style="0" customWidth="1"/>
    <col min="12" max="12" width="9.7109375" style="0" customWidth="1"/>
  </cols>
  <sheetData>
    <row r="1" spans="1:14" s="12" customFormat="1" ht="41.25">
      <c r="A1" s="239" t="s">
        <v>51</v>
      </c>
      <c r="B1" s="239" t="s">
        <v>50</v>
      </c>
      <c r="C1" s="242" t="s">
        <v>86</v>
      </c>
      <c r="D1" s="243" t="s">
        <v>87</v>
      </c>
      <c r="E1" s="244" t="s">
        <v>88</v>
      </c>
      <c r="F1" s="245" t="s">
        <v>83</v>
      </c>
      <c r="G1" s="240" t="s">
        <v>33</v>
      </c>
      <c r="H1" s="240" t="s">
        <v>72</v>
      </c>
      <c r="I1" s="240" t="s">
        <v>34</v>
      </c>
      <c r="J1" s="246" t="s">
        <v>36</v>
      </c>
      <c r="K1" s="246" t="s">
        <v>28</v>
      </c>
      <c r="L1" s="247" t="s">
        <v>133</v>
      </c>
      <c r="M1" s="246" t="s">
        <v>97</v>
      </c>
      <c r="N1" s="246" t="s">
        <v>38</v>
      </c>
    </row>
    <row r="2" spans="1:14" ht="12.75">
      <c r="A2" s="14">
        <v>1</v>
      </c>
      <c r="B2" s="173">
        <v>8000</v>
      </c>
      <c r="C2" s="112">
        <f aca="true" t="shared" si="0" ref="C2:C13">18439+524*A2</f>
        <v>18963</v>
      </c>
      <c r="D2" s="180">
        <f aca="true" t="shared" si="1" ref="D2:D13">B2/C2</f>
        <v>0.42187417602699995</v>
      </c>
      <c r="E2" s="248">
        <f>(D2+D6+D10)/3</f>
        <v>0.4716590436620061</v>
      </c>
      <c r="F2" s="249">
        <f>C2*$E$2</f>
        <v>8944.070444962623</v>
      </c>
      <c r="G2" s="103">
        <f aca="true" t="shared" si="2" ref="G2:G13">F2-B2</f>
        <v>944.0704449626228</v>
      </c>
      <c r="H2" s="103">
        <f>SUMSQ($G$2:G2)/A2</f>
        <v>891269.0050519246</v>
      </c>
      <c r="I2" s="103">
        <f aca="true" t="shared" si="3" ref="I2:I13">ABS(G2)</f>
        <v>944.0704449626228</v>
      </c>
      <c r="J2" s="105">
        <f>SUM($I$2:I2)/A2</f>
        <v>944.0704449626228</v>
      </c>
      <c r="K2" s="103">
        <f>100*I2/B2</f>
        <v>11.800880562032784</v>
      </c>
      <c r="L2" s="250">
        <f>SUM($K$2:K2)/A2</f>
        <v>11.800880562032784</v>
      </c>
      <c r="M2" s="153">
        <f>SUM($G$2:G2)</f>
        <v>944.0704449626228</v>
      </c>
      <c r="N2" s="251">
        <f aca="true" t="shared" si="4" ref="N2:N13">M2/J2</f>
        <v>1</v>
      </c>
    </row>
    <row r="3" spans="1:14" ht="12.75">
      <c r="A3" s="14">
        <v>2</v>
      </c>
      <c r="B3" s="173">
        <v>13000</v>
      </c>
      <c r="C3" s="112">
        <f t="shared" si="0"/>
        <v>19487</v>
      </c>
      <c r="D3" s="180">
        <f t="shared" si="1"/>
        <v>0.66711140760507</v>
      </c>
      <c r="E3" s="248">
        <f>(D3+D7+D11)/3</f>
        <v>0.6833702642494806</v>
      </c>
      <c r="F3" s="249">
        <f>C3*$E$3</f>
        <v>13316.836339429628</v>
      </c>
      <c r="G3" s="103">
        <f t="shared" si="2"/>
        <v>316.8363394296284</v>
      </c>
      <c r="H3" s="103">
        <f>SUMSQ($G$2:G3)/A3</f>
        <v>495827.1355175457</v>
      </c>
      <c r="I3" s="103">
        <f t="shared" si="3"/>
        <v>316.8363394296284</v>
      </c>
      <c r="J3" s="105">
        <f>SUM($I$2:I3)/A3</f>
        <v>630.4533921961256</v>
      </c>
      <c r="K3" s="103">
        <f aca="true" t="shared" si="5" ref="K3:K13">100*I3/B3</f>
        <v>2.437202610997142</v>
      </c>
      <c r="L3" s="250">
        <f>SUM($K$2:K3)/A3</f>
        <v>7.119041586514963</v>
      </c>
      <c r="M3" s="153">
        <f>SUM($G$2:G3)</f>
        <v>1260.9067843922512</v>
      </c>
      <c r="N3" s="251">
        <f t="shared" si="4"/>
        <v>2</v>
      </c>
    </row>
    <row r="4" spans="1:14" ht="12.75">
      <c r="A4" s="14">
        <v>3</v>
      </c>
      <c r="B4" s="173">
        <v>23000</v>
      </c>
      <c r="C4" s="112">
        <f t="shared" si="0"/>
        <v>20011</v>
      </c>
      <c r="D4" s="180">
        <f t="shared" si="1"/>
        <v>1.1493678476837739</v>
      </c>
      <c r="E4" s="248">
        <f>(D4+D8+D12)/3</f>
        <v>1.1706374798527197</v>
      </c>
      <c r="F4" s="249">
        <f>C4*$E$4</f>
        <v>23425.626609332776</v>
      </c>
      <c r="G4" s="103">
        <f t="shared" si="2"/>
        <v>425.62660933277584</v>
      </c>
      <c r="H4" s="103">
        <f>SUMSQ($G$2:G4)/A4</f>
        <v>390937.4272024022</v>
      </c>
      <c r="I4" s="103">
        <f t="shared" si="3"/>
        <v>425.62660933277584</v>
      </c>
      <c r="J4" s="105">
        <f>SUM($I$2:I4)/A4</f>
        <v>562.1777979083423</v>
      </c>
      <c r="K4" s="103">
        <f t="shared" si="5"/>
        <v>1.850550475359895</v>
      </c>
      <c r="L4" s="250">
        <f>SUM($K$2:K4)/A4</f>
        <v>5.362877882796607</v>
      </c>
      <c r="M4" s="153">
        <f>SUM($G$2:G4)</f>
        <v>1686.533393725027</v>
      </c>
      <c r="N4" s="251">
        <f t="shared" si="4"/>
        <v>3</v>
      </c>
    </row>
    <row r="5" spans="1:14" ht="12.75">
      <c r="A5" s="14">
        <v>4</v>
      </c>
      <c r="B5" s="173">
        <v>34000</v>
      </c>
      <c r="C5" s="112">
        <f t="shared" si="0"/>
        <v>20535</v>
      </c>
      <c r="D5" s="180">
        <f t="shared" si="1"/>
        <v>1.655709763817872</v>
      </c>
      <c r="E5" s="248">
        <f>(D5+D9+D13)/3</f>
        <v>1.6643096695132693</v>
      </c>
      <c r="F5" s="249">
        <f>C5*$E$5</f>
        <v>34176.59906345498</v>
      </c>
      <c r="G5" s="103">
        <f t="shared" si="2"/>
        <v>176.59906345498166</v>
      </c>
      <c r="H5" s="103">
        <f>SUMSQ($G$2:G5)/A5</f>
        <v>300999.8777050958</v>
      </c>
      <c r="I5" s="103">
        <f t="shared" si="3"/>
        <v>176.59906345498166</v>
      </c>
      <c r="J5" s="105">
        <f>SUM($I$2:I5)/A5</f>
        <v>465.7831142950022</v>
      </c>
      <c r="K5" s="103">
        <f t="shared" si="5"/>
        <v>0.5194090101617108</v>
      </c>
      <c r="L5" s="250">
        <f>SUM($K$2:K5)/A5</f>
        <v>4.152010664637882</v>
      </c>
      <c r="M5" s="153">
        <f>SUM($G$2:G5)</f>
        <v>1863.1324571800087</v>
      </c>
      <c r="N5" s="251">
        <f t="shared" si="4"/>
        <v>4</v>
      </c>
    </row>
    <row r="6" spans="1:14" ht="12.75">
      <c r="A6" s="14">
        <v>5</v>
      </c>
      <c r="B6" s="173">
        <v>10000</v>
      </c>
      <c r="C6" s="112">
        <f t="shared" si="0"/>
        <v>21059</v>
      </c>
      <c r="D6" s="180">
        <f t="shared" si="1"/>
        <v>0.47485635595232445</v>
      </c>
      <c r="E6" s="249"/>
      <c r="F6" s="249">
        <f>C6*$E$2</f>
        <v>9932.667800478186</v>
      </c>
      <c r="G6" s="103">
        <f t="shared" si="2"/>
        <v>-67.33219952181389</v>
      </c>
      <c r="H6" s="103">
        <f>SUMSQ($G$2:G6)/A6</f>
        <v>241706.62718256572</v>
      </c>
      <c r="I6" s="103">
        <f t="shared" si="3"/>
        <v>67.33219952181389</v>
      </c>
      <c r="J6" s="105">
        <f>SUM($I$2:I6)/A6</f>
        <v>386.09293134036454</v>
      </c>
      <c r="K6" s="103">
        <f t="shared" si="5"/>
        <v>0.673321995218139</v>
      </c>
      <c r="L6" s="250">
        <f>SUM($K$2:K6)/A6</f>
        <v>3.4562729307539337</v>
      </c>
      <c r="M6" s="153">
        <f>SUM($G$2:G6)</f>
        <v>1795.8002576581948</v>
      </c>
      <c r="N6" s="251">
        <f t="shared" si="4"/>
        <v>4.6512124721472485</v>
      </c>
    </row>
    <row r="7" spans="1:14" ht="12.75">
      <c r="A7" s="14">
        <v>6</v>
      </c>
      <c r="B7" s="173">
        <v>18000</v>
      </c>
      <c r="C7" s="112">
        <f t="shared" si="0"/>
        <v>21583</v>
      </c>
      <c r="D7" s="180">
        <f t="shared" si="1"/>
        <v>0.8339897141268591</v>
      </c>
      <c r="E7" s="249"/>
      <c r="F7" s="249">
        <f>C7*$E$3</f>
        <v>14749.180413296539</v>
      </c>
      <c r="G7" s="103">
        <f t="shared" si="2"/>
        <v>-3250.819586703461</v>
      </c>
      <c r="H7" s="103">
        <f>SUMSQ($G$2:G7)/A7</f>
        <v>1962726.853534615</v>
      </c>
      <c r="I7" s="103">
        <f t="shared" si="3"/>
        <v>3250.819586703461</v>
      </c>
      <c r="J7" s="105">
        <f>SUM($I$2:I7)/A7</f>
        <v>863.5473739008806</v>
      </c>
      <c r="K7" s="103">
        <f t="shared" si="5"/>
        <v>18.06010881501923</v>
      </c>
      <c r="L7" s="250">
        <f>SUM($K$2:K7)/A7</f>
        <v>5.890245578131483</v>
      </c>
      <c r="M7" s="153">
        <f>SUM($G$2:G7)</f>
        <v>-1455.0193290452662</v>
      </c>
      <c r="N7" s="251">
        <f t="shared" si="4"/>
        <v>-1.68493283984241</v>
      </c>
    </row>
    <row r="8" spans="1:14" ht="12.75">
      <c r="A8" s="14">
        <v>7</v>
      </c>
      <c r="B8" s="173">
        <v>23000</v>
      </c>
      <c r="C8" s="112">
        <f t="shared" si="0"/>
        <v>22107</v>
      </c>
      <c r="D8" s="180">
        <f t="shared" si="1"/>
        <v>1.0403944451983536</v>
      </c>
      <c r="E8" s="249"/>
      <c r="F8" s="249">
        <f>C8*$E$4</f>
        <v>25879.282767104076</v>
      </c>
      <c r="G8" s="103">
        <f t="shared" si="2"/>
        <v>2879.282767104076</v>
      </c>
      <c r="H8" s="103">
        <f>SUMSQ($G$2:G8)/A8</f>
        <v>2866661.482021456</v>
      </c>
      <c r="I8" s="103">
        <f t="shared" si="3"/>
        <v>2879.282767104076</v>
      </c>
      <c r="J8" s="105">
        <f>SUM($I$2:I8)/A8</f>
        <v>1151.5095729299085</v>
      </c>
      <c r="K8" s="103">
        <f t="shared" si="5"/>
        <v>12.51862072653946</v>
      </c>
      <c r="L8" s="250">
        <f>SUM($K$2:K8)/A8</f>
        <v>6.837156313618337</v>
      </c>
      <c r="M8" s="153">
        <f>SUM($G$2:G8)</f>
        <v>1424.2634380588097</v>
      </c>
      <c r="N8" s="251">
        <f t="shared" si="4"/>
        <v>1.236866346178004</v>
      </c>
    </row>
    <row r="9" spans="1:14" ht="12.75">
      <c r="A9" s="14">
        <v>8</v>
      </c>
      <c r="B9" s="173">
        <v>38000</v>
      </c>
      <c r="C9" s="112">
        <f t="shared" si="0"/>
        <v>22631</v>
      </c>
      <c r="D9" s="180">
        <f t="shared" si="1"/>
        <v>1.6791127214882242</v>
      </c>
      <c r="E9" s="249"/>
      <c r="F9" s="249">
        <f>C9*$E$5</f>
        <v>37664.9921307548</v>
      </c>
      <c r="G9" s="103">
        <f t="shared" si="2"/>
        <v>-335.0078692452007</v>
      </c>
      <c r="H9" s="103">
        <f>SUMSQ($G$2:G9)/A9</f>
        <v>2522357.5808258005</v>
      </c>
      <c r="I9" s="103">
        <f t="shared" si="3"/>
        <v>335.0078692452007</v>
      </c>
      <c r="J9" s="105">
        <f>SUM($I$2:I9)/A9</f>
        <v>1049.44685996932</v>
      </c>
      <c r="K9" s="103">
        <f t="shared" si="5"/>
        <v>0.8815996559084229</v>
      </c>
      <c r="L9" s="250">
        <f>SUM($K$2:K9)/A9</f>
        <v>6.092711731404598</v>
      </c>
      <c r="M9" s="153">
        <f>SUM($G$2:G9)</f>
        <v>1089.255568813609</v>
      </c>
      <c r="N9" s="251">
        <f t="shared" si="4"/>
        <v>1.0379330391683221</v>
      </c>
    </row>
    <row r="10" spans="1:14" ht="12.75">
      <c r="A10" s="14">
        <v>9</v>
      </c>
      <c r="B10" s="173">
        <v>12000</v>
      </c>
      <c r="C10" s="112">
        <f t="shared" si="0"/>
        <v>23155</v>
      </c>
      <c r="D10" s="180">
        <f t="shared" si="1"/>
        <v>0.518246599006694</v>
      </c>
      <c r="E10" s="249"/>
      <c r="F10" s="249">
        <f>C10*$E$2</f>
        <v>10921.265155993751</v>
      </c>
      <c r="G10" s="103">
        <f t="shared" si="2"/>
        <v>-1078.7348440062487</v>
      </c>
      <c r="H10" s="103">
        <f>SUMSQ($G$2:G10)/A10</f>
        <v>2371392.1678088433</v>
      </c>
      <c r="I10" s="103">
        <f t="shared" si="3"/>
        <v>1078.7348440062487</v>
      </c>
      <c r="J10" s="105">
        <f>SUM($I$2:I10)/A10</f>
        <v>1052.7010804178676</v>
      </c>
      <c r="K10" s="103">
        <f t="shared" si="5"/>
        <v>8.989457033385406</v>
      </c>
      <c r="L10" s="250">
        <f>SUM($K$2:K10)/A10</f>
        <v>6.414572320513576</v>
      </c>
      <c r="M10" s="153">
        <f>SUM($G$2:G10)</f>
        <v>10.520724807360239</v>
      </c>
      <c r="N10" s="251">
        <f t="shared" si="4"/>
        <v>0.009994028697286089</v>
      </c>
    </row>
    <row r="11" spans="1:14" ht="12.75">
      <c r="A11" s="14">
        <v>10</v>
      </c>
      <c r="B11" s="173">
        <v>13000</v>
      </c>
      <c r="C11" s="112">
        <f t="shared" si="0"/>
        <v>23679</v>
      </c>
      <c r="D11" s="180">
        <f t="shared" si="1"/>
        <v>0.5490096710165125</v>
      </c>
      <c r="E11" s="249"/>
      <c r="F11" s="249">
        <f>C11*$E$3</f>
        <v>16181.52448716345</v>
      </c>
      <c r="G11" s="103">
        <f t="shared" si="2"/>
        <v>3181.5244871634495</v>
      </c>
      <c r="H11" s="103">
        <f>SUMSQ($G$2:G11)/A11</f>
        <v>3146462.757270024</v>
      </c>
      <c r="I11" s="103">
        <f t="shared" si="3"/>
        <v>3181.5244871634495</v>
      </c>
      <c r="J11" s="105">
        <f>SUM($I$2:I11)/A11</f>
        <v>1265.5834210924259</v>
      </c>
      <c r="K11" s="103">
        <f t="shared" si="5"/>
        <v>24.47326528587269</v>
      </c>
      <c r="L11" s="250">
        <f>SUM($K$2:K11)/A11</f>
        <v>8.220441617049488</v>
      </c>
      <c r="M11" s="153">
        <f>SUM($G$2:G11)</f>
        <v>3192.0452119708098</v>
      </c>
      <c r="N11" s="251">
        <f t="shared" si="4"/>
        <v>2.522192657371808</v>
      </c>
    </row>
    <row r="12" spans="1:14" ht="12.75">
      <c r="A12" s="14">
        <v>11</v>
      </c>
      <c r="B12" s="173">
        <v>32000</v>
      </c>
      <c r="C12" s="112">
        <f t="shared" si="0"/>
        <v>24203</v>
      </c>
      <c r="D12" s="180">
        <f t="shared" si="1"/>
        <v>1.322150146676032</v>
      </c>
      <c r="E12" s="252"/>
      <c r="F12" s="249">
        <f>C12*$E$4</f>
        <v>28332.938924875376</v>
      </c>
      <c r="G12" s="103">
        <f t="shared" si="2"/>
        <v>-3667.061075124624</v>
      </c>
      <c r="H12" s="103">
        <f>SUMSQ($G$2:G12)/A12</f>
        <v>4082905.863763128</v>
      </c>
      <c r="I12" s="103">
        <f t="shared" si="3"/>
        <v>3667.061075124624</v>
      </c>
      <c r="J12" s="105">
        <f>SUM($I$2:I12)/A12</f>
        <v>1483.8995714589894</v>
      </c>
      <c r="K12" s="103">
        <f t="shared" si="5"/>
        <v>11.459565859764451</v>
      </c>
      <c r="L12" s="250">
        <f>SUM($K$2:K12)/A12</f>
        <v>8.514907457296303</v>
      </c>
      <c r="M12" s="153">
        <f>SUM($G$2:G12)</f>
        <v>-475.0158631538143</v>
      </c>
      <c r="N12" s="251">
        <f t="shared" si="4"/>
        <v>-0.320113215402288</v>
      </c>
    </row>
    <row r="13" spans="1:14" ht="12.75">
      <c r="A13" s="14">
        <v>12</v>
      </c>
      <c r="B13" s="173">
        <v>41000</v>
      </c>
      <c r="C13" s="112">
        <f t="shared" si="0"/>
        <v>24727</v>
      </c>
      <c r="D13" s="180">
        <f t="shared" si="1"/>
        <v>1.6581065232337122</v>
      </c>
      <c r="E13" s="249"/>
      <c r="F13" s="249">
        <f>C13*$E$5</f>
        <v>41153.38519805461</v>
      </c>
      <c r="G13" s="241">
        <f t="shared" si="2"/>
        <v>153.38519805460965</v>
      </c>
      <c r="H13" s="241">
        <f>SUMSQ($G$2:G13)/A13</f>
        <v>3744624.293364722</v>
      </c>
      <c r="I13" s="241">
        <f t="shared" si="3"/>
        <v>153.38519805460965</v>
      </c>
      <c r="J13" s="253">
        <f>SUM($I$2:I13)/A13</f>
        <v>1373.023373675291</v>
      </c>
      <c r="K13" s="241">
        <f t="shared" si="5"/>
        <v>0.3741102391575845</v>
      </c>
      <c r="L13" s="210">
        <f>SUM($K$2:K13)/A13</f>
        <v>7.8365076891180765</v>
      </c>
      <c r="M13" s="254">
        <f>SUM($G$2:G13)</f>
        <v>-321.63066509920463</v>
      </c>
      <c r="N13" s="256">
        <f t="shared" si="4"/>
        <v>-0.23424995616663677</v>
      </c>
    </row>
    <row r="14" spans="1:14" ht="12.75">
      <c r="A14" s="202">
        <v>13</v>
      </c>
      <c r="B14" s="203"/>
      <c r="C14" s="203"/>
      <c r="D14" s="204"/>
      <c r="E14" s="205"/>
      <c r="F14" s="255">
        <f>((18439+(524*A14)))*E2</f>
        <v>11909.862511509316</v>
      </c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202">
        <v>14</v>
      </c>
      <c r="B15" s="203"/>
      <c r="C15" s="203"/>
      <c r="D15" s="204"/>
      <c r="E15" s="205"/>
      <c r="F15" s="255">
        <f>((18439+(524*A15)))*E3</f>
        <v>17613.868561030362</v>
      </c>
      <c r="G15" s="31"/>
      <c r="H15" s="31"/>
      <c r="I15" s="31"/>
      <c r="J15" s="31"/>
      <c r="K15" s="31"/>
      <c r="L15" s="31"/>
      <c r="M15" s="31"/>
      <c r="N15" s="31"/>
    </row>
    <row r="16" spans="1:14" ht="12.75">
      <c r="A16" s="202">
        <v>15</v>
      </c>
      <c r="B16" s="203"/>
      <c r="C16" s="203"/>
      <c r="D16" s="204"/>
      <c r="E16" s="205"/>
      <c r="F16" s="255">
        <f>((18439+(524*A16)))*E4</f>
        <v>30786.595082646676</v>
      </c>
      <c r="G16" s="31"/>
      <c r="H16" s="31"/>
      <c r="I16" s="31"/>
      <c r="J16" s="31"/>
      <c r="K16" s="31"/>
      <c r="L16" s="31"/>
      <c r="M16" s="31"/>
      <c r="N16" s="31"/>
    </row>
    <row r="17" spans="1:14" ht="12.75">
      <c r="A17" s="202">
        <v>16</v>
      </c>
      <c r="B17" s="206"/>
      <c r="C17" s="207"/>
      <c r="D17" s="206"/>
      <c r="E17" s="205"/>
      <c r="F17" s="255">
        <f>((18439+(524*A17)))*E5</f>
        <v>44641.77826535442</v>
      </c>
      <c r="G17" s="31"/>
      <c r="H17" s="31"/>
      <c r="I17" s="31"/>
      <c r="J17" s="31"/>
      <c r="K17" s="31"/>
      <c r="L17" s="31"/>
      <c r="M17" s="31"/>
      <c r="N17" s="31"/>
    </row>
    <row r="18" spans="1:6" ht="13.5" thickBot="1">
      <c r="A18" s="98"/>
      <c r="C18" s="9"/>
      <c r="E18" s="95"/>
      <c r="F18" s="97"/>
    </row>
    <row r="19" spans="1:6" ht="16.5" thickBot="1">
      <c r="A19" s="261" t="s">
        <v>52</v>
      </c>
      <c r="B19" s="262"/>
      <c r="C19" s="263"/>
      <c r="F19" s="7"/>
    </row>
    <row r="20" spans="1:6" ht="38.25" customHeight="1">
      <c r="A20" s="43" t="s">
        <v>41</v>
      </c>
      <c r="B20" s="45" t="s">
        <v>54</v>
      </c>
      <c r="C20" s="92" t="s">
        <v>53</v>
      </c>
      <c r="F20" s="7"/>
    </row>
    <row r="21" spans="1:3" ht="12.75">
      <c r="A21" s="46" t="s">
        <v>127</v>
      </c>
      <c r="B21" s="47">
        <v>13</v>
      </c>
      <c r="C21" s="93">
        <f>((18439+(524*B21)))*E2</f>
        <v>11909.862511509316</v>
      </c>
    </row>
    <row r="22" spans="1:3" ht="12.75">
      <c r="A22" s="46" t="s">
        <v>128</v>
      </c>
      <c r="B22" s="47">
        <v>14</v>
      </c>
      <c r="C22" s="93">
        <f>((18439+(524*B22)))*E3</f>
        <v>17613.868561030362</v>
      </c>
    </row>
    <row r="23" spans="1:3" ht="12.75">
      <c r="A23" s="46" t="s">
        <v>129</v>
      </c>
      <c r="B23" s="47">
        <v>15</v>
      </c>
      <c r="C23" s="93">
        <f>((18439+(524*B23)))*E4</f>
        <v>30786.595082646676</v>
      </c>
    </row>
    <row r="24" spans="1:3" ht="13.5" thickBot="1">
      <c r="A24" s="48" t="s">
        <v>130</v>
      </c>
      <c r="B24" s="49">
        <v>16</v>
      </c>
      <c r="C24" s="94">
        <f>((18439+(524*B24)))*E5</f>
        <v>44641.77826535442</v>
      </c>
    </row>
    <row r="25" ht="12.75">
      <c r="B25" s="13"/>
    </row>
    <row r="26" ht="12.75">
      <c r="B26" s="13"/>
    </row>
    <row r="33" ht="12.75">
      <c r="A33" s="11"/>
    </row>
  </sheetData>
  <sheetProtection/>
  <mergeCells count="1">
    <mergeCell ref="A19:C19"/>
  </mergeCells>
  <printOptions/>
  <pageMargins left="0.75" right="0.75" top="1" bottom="1" header="0.5" footer="0.5"/>
  <pageSetup horizontalDpi="300" verticalDpi="300" orientation="portrait" r:id="rId11"/>
  <headerFooter alignWithMargins="0">
    <oddHeader>&amp;C&amp;A</oddHeader>
  </headerFooter>
  <drawing r:id="rId10"/>
  <legacyDrawing r:id="rId9"/>
  <oleObjects>
    <oleObject progId="Equation.3" shapeId="822404" r:id="rId1"/>
    <oleObject progId="Equation.3" shapeId="827018" r:id="rId2"/>
    <oleObject progId="Equation.3" shapeId="1043289" r:id="rId3"/>
    <oleObject progId="Equation.3" shapeId="1084939" r:id="rId4"/>
    <oleObject progId="Equation.3" shapeId="76513511" r:id="rId5"/>
    <oleObject progId="Equation.3" shapeId="76518461" r:id="rId6"/>
    <oleObject progId="Equation.3" shapeId="76518463" r:id="rId7"/>
    <oleObject progId="Equation.3" shapeId="76518465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F35"/>
  <sheetViews>
    <sheetView showGridLines="0" zoomScale="130" zoomScaleNormal="130" zoomScalePageLayoutView="0" workbookViewId="0" topLeftCell="A1">
      <selection activeCell="C7" sqref="C7"/>
    </sheetView>
  </sheetViews>
  <sheetFormatPr defaultColWidth="9.140625" defaultRowHeight="12.75"/>
  <cols>
    <col min="1" max="1" width="6.8515625" style="0" customWidth="1"/>
    <col min="2" max="2" width="8.28125" style="0" customWidth="1"/>
    <col min="3" max="3" width="10.7109375" style="0" customWidth="1"/>
    <col min="4" max="4" width="12.140625" style="0" customWidth="1"/>
    <col min="5" max="5" width="8.7109375" style="0" bestFit="1" customWidth="1"/>
  </cols>
  <sheetData>
    <row r="1" ht="16.5" thickBot="1">
      <c r="A1" s="50" t="s">
        <v>121</v>
      </c>
    </row>
    <row r="2" spans="1:6" ht="42.75" customHeight="1" thickBot="1">
      <c r="A2" s="181" t="s">
        <v>55</v>
      </c>
      <c r="B2" s="56" t="s">
        <v>56</v>
      </c>
      <c r="C2" s="57" t="s">
        <v>57</v>
      </c>
      <c r="D2" s="57" t="s">
        <v>58</v>
      </c>
      <c r="E2" s="189" t="s">
        <v>59</v>
      </c>
      <c r="F2" s="42"/>
    </row>
    <row r="3" spans="1:5" ht="12.75">
      <c r="A3" s="182">
        <v>1</v>
      </c>
      <c r="B3" s="184">
        <v>120</v>
      </c>
      <c r="C3" s="185"/>
      <c r="D3" s="185"/>
      <c r="E3" s="190"/>
    </row>
    <row r="4" spans="1:5" ht="12.75">
      <c r="A4" s="124">
        <v>2</v>
      </c>
      <c r="B4" s="186">
        <v>127</v>
      </c>
      <c r="C4" s="187"/>
      <c r="D4" s="187"/>
      <c r="E4" s="191"/>
    </row>
    <row r="5" spans="1:5" ht="12.75">
      <c r="A5" s="124">
        <v>3</v>
      </c>
      <c r="B5" s="186">
        <v>114</v>
      </c>
      <c r="C5" s="187"/>
      <c r="D5" s="187"/>
      <c r="E5" s="191"/>
    </row>
    <row r="6" spans="1:5" ht="12.75">
      <c r="A6" s="124">
        <v>4</v>
      </c>
      <c r="B6" s="186">
        <v>122</v>
      </c>
      <c r="C6" s="188">
        <f>AVERAGE(B3:B6)</f>
        <v>120.75</v>
      </c>
      <c r="D6" s="187"/>
      <c r="E6" s="191"/>
    </row>
    <row r="7" spans="1:5" ht="12.75">
      <c r="A7" s="124">
        <v>5</v>
      </c>
      <c r="B7" s="186">
        <v>125</v>
      </c>
      <c r="C7" s="209">
        <f>AVERAGE(B4:B7)</f>
        <v>122</v>
      </c>
      <c r="D7" s="147">
        <f>C6</f>
        <v>120.75</v>
      </c>
      <c r="E7" s="192">
        <f>D7-B7</f>
        <v>-4.25</v>
      </c>
    </row>
    <row r="8" spans="1:5" ht="12.75">
      <c r="A8" s="124">
        <v>6</v>
      </c>
      <c r="B8" s="186"/>
      <c r="C8" s="187"/>
      <c r="D8" s="208">
        <f>C7</f>
        <v>122</v>
      </c>
      <c r="E8" s="191"/>
    </row>
    <row r="9" spans="1:5" ht="12.75">
      <c r="A9" s="124">
        <v>7</v>
      </c>
      <c r="B9" s="102"/>
      <c r="C9" s="103"/>
      <c r="D9" s="103"/>
      <c r="E9" s="104"/>
    </row>
    <row r="10" spans="1:5" ht="12.75">
      <c r="A10" s="124">
        <v>8</v>
      </c>
      <c r="B10" s="102"/>
      <c r="C10" s="103"/>
      <c r="D10" s="103"/>
      <c r="E10" s="104"/>
    </row>
    <row r="11" spans="1:5" ht="12.75">
      <c r="A11" s="124">
        <v>9</v>
      </c>
      <c r="B11" s="102"/>
      <c r="C11" s="103"/>
      <c r="D11" s="103"/>
      <c r="E11" s="104"/>
    </row>
    <row r="12" spans="1:5" ht="12.75">
      <c r="A12" s="124">
        <v>10</v>
      </c>
      <c r="B12" s="102"/>
      <c r="C12" s="103"/>
      <c r="D12" s="103"/>
      <c r="E12" s="104"/>
    </row>
    <row r="13" spans="1:5" ht="12.75">
      <c r="A13" s="124">
        <v>11</v>
      </c>
      <c r="B13" s="102"/>
      <c r="C13" s="103"/>
      <c r="D13" s="103"/>
      <c r="E13" s="104"/>
    </row>
    <row r="14" spans="1:5" ht="13.5" thickBot="1">
      <c r="A14" s="183">
        <v>12</v>
      </c>
      <c r="B14" s="107"/>
      <c r="C14" s="108"/>
      <c r="D14" s="108"/>
      <c r="E14" s="193"/>
    </row>
    <row r="16" spans="3:4" ht="12.75">
      <c r="C16" s="5"/>
      <c r="D16" s="6"/>
    </row>
    <row r="17" spans="3:4" ht="12.75">
      <c r="C17" s="5"/>
      <c r="D17" s="6"/>
    </row>
    <row r="18" spans="3:4" ht="12.75">
      <c r="C18" s="5"/>
      <c r="D18" s="6"/>
    </row>
    <row r="19" spans="3:4" ht="12.75">
      <c r="C19" s="5"/>
      <c r="D19" s="6"/>
    </row>
    <row r="20" spans="3:4" ht="12.75">
      <c r="C20" s="5"/>
      <c r="D20" s="6"/>
    </row>
    <row r="21" spans="3:4" ht="12.75">
      <c r="C21" s="5"/>
      <c r="D21" s="6"/>
    </row>
    <row r="22" spans="3:4" ht="12.75">
      <c r="C22" s="5"/>
      <c r="D22" s="6"/>
    </row>
    <row r="23" spans="3:4" ht="12.75">
      <c r="C23" s="5"/>
      <c r="D23" s="6"/>
    </row>
    <row r="24" spans="3:4" ht="12.75">
      <c r="C24" s="5"/>
      <c r="D24" s="6"/>
    </row>
    <row r="25" spans="3:4" ht="12.75">
      <c r="C25" s="5"/>
      <c r="D25" s="6"/>
    </row>
    <row r="26" spans="3:4" ht="12.75">
      <c r="C26" s="5"/>
      <c r="D26" s="6"/>
    </row>
    <row r="27" spans="3:4" ht="12.75">
      <c r="C27" s="5"/>
      <c r="D27" s="6"/>
    </row>
    <row r="28" spans="2:3" ht="12.75">
      <c r="B28" s="5"/>
      <c r="C28" s="5"/>
    </row>
    <row r="32" ht="12.75">
      <c r="C32" s="5"/>
    </row>
    <row r="33" ht="12.75">
      <c r="C33" s="5"/>
    </row>
    <row r="34" ht="12.75">
      <c r="C34" s="5"/>
    </row>
    <row r="35" ht="12.75">
      <c r="C35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AJ36"/>
  <sheetViews>
    <sheetView showGridLines="0" zoomScale="130" zoomScaleNormal="130" zoomScalePageLayoutView="0" workbookViewId="0" topLeftCell="A1">
      <selection activeCell="B8" sqref="B8"/>
    </sheetView>
  </sheetViews>
  <sheetFormatPr defaultColWidth="9.140625" defaultRowHeight="12.75"/>
  <cols>
    <col min="2" max="2" width="9.421875" style="0" customWidth="1"/>
    <col min="4" max="4" width="10.140625" style="0" customWidth="1"/>
    <col min="6" max="36" width="9.140625" style="157" customWidth="1"/>
  </cols>
  <sheetData>
    <row r="1" ht="16.5" thickBot="1">
      <c r="A1" s="50" t="s">
        <v>122</v>
      </c>
    </row>
    <row r="2" spans="1:5" ht="29.25" thickBot="1">
      <c r="A2" s="181" t="s">
        <v>120</v>
      </c>
      <c r="B2" s="56" t="s">
        <v>29</v>
      </c>
      <c r="C2" s="57" t="s">
        <v>31</v>
      </c>
      <c r="D2" s="57" t="s">
        <v>32</v>
      </c>
      <c r="E2" s="189" t="s">
        <v>33</v>
      </c>
    </row>
    <row r="3" spans="1:5" ht="12.75">
      <c r="A3" s="120">
        <v>0</v>
      </c>
      <c r="B3" s="194"/>
      <c r="C3" s="195">
        <f>AVERAGE(B4:B7)</f>
        <v>120.75</v>
      </c>
      <c r="D3" s="196"/>
      <c r="E3" s="123"/>
    </row>
    <row r="4" spans="1:5" ht="12.75">
      <c r="A4" s="182">
        <v>1</v>
      </c>
      <c r="B4" s="184">
        <v>120</v>
      </c>
      <c r="C4" s="188">
        <f>$B$17*B4+(1-$B$17)*C3</f>
        <v>120.675</v>
      </c>
      <c r="D4" s="188">
        <f>C3</f>
        <v>120.75</v>
      </c>
      <c r="E4" s="192">
        <f>D4-B4</f>
        <v>0.75</v>
      </c>
    </row>
    <row r="5" spans="1:5" ht="12.75">
      <c r="A5" s="124">
        <v>2</v>
      </c>
      <c r="B5" s="186">
        <v>127</v>
      </c>
      <c r="C5" s="188">
        <f>$B$17*B5+(1-$B$17)*C4</f>
        <v>121.3075</v>
      </c>
      <c r="D5" s="188">
        <f>C4</f>
        <v>120.675</v>
      </c>
      <c r="E5" s="192">
        <f>D5-B5</f>
        <v>-6.325000000000003</v>
      </c>
    </row>
    <row r="6" spans="1:5" ht="12.75">
      <c r="A6" s="124">
        <v>3</v>
      </c>
      <c r="B6" s="186">
        <v>114</v>
      </c>
      <c r="C6" s="188">
        <f>$B$17*B6+(1-$B$17)*C5</f>
        <v>120.57675000000002</v>
      </c>
      <c r="D6" s="188">
        <f>C5</f>
        <v>121.3075</v>
      </c>
      <c r="E6" s="192">
        <f>D6-B6</f>
        <v>7.3075000000000045</v>
      </c>
    </row>
    <row r="7" spans="1:5" ht="12.75">
      <c r="A7" s="124">
        <v>4</v>
      </c>
      <c r="B7" s="186">
        <v>122</v>
      </c>
      <c r="C7" s="210">
        <f>$B$17*B7+(1-$B$17)*C6</f>
        <v>120.71907500000002</v>
      </c>
      <c r="D7" s="188">
        <f>C6</f>
        <v>120.57675000000002</v>
      </c>
      <c r="E7" s="192">
        <f>D7-B7</f>
        <v>-1.4232499999999817</v>
      </c>
    </row>
    <row r="8" spans="1:5" ht="12.75">
      <c r="A8" s="124">
        <v>5</v>
      </c>
      <c r="B8" s="186"/>
      <c r="C8" s="188">
        <f>$B$17*B8+(1-$B$17)*C7</f>
        <v>108.64716750000002</v>
      </c>
      <c r="D8" s="147">
        <f>C7</f>
        <v>120.71907500000002</v>
      </c>
      <c r="E8" s="192"/>
    </row>
    <row r="9" spans="1:5" ht="12.75">
      <c r="A9" s="124">
        <v>6</v>
      </c>
      <c r="B9" s="102"/>
      <c r="C9" s="103"/>
      <c r="D9" s="103"/>
      <c r="E9" s="104"/>
    </row>
    <row r="10" spans="1:5" ht="12.75">
      <c r="A10" s="124">
        <v>7</v>
      </c>
      <c r="B10" s="102"/>
      <c r="C10" s="103"/>
      <c r="D10" s="103"/>
      <c r="E10" s="104"/>
    </row>
    <row r="11" spans="1:5" ht="12.75">
      <c r="A11" s="124">
        <v>8</v>
      </c>
      <c r="B11" s="102"/>
      <c r="C11" s="103"/>
      <c r="D11" s="103"/>
      <c r="E11" s="104"/>
    </row>
    <row r="12" spans="1:5" ht="12.75">
      <c r="A12" s="124">
        <v>9</v>
      </c>
      <c r="B12" s="102"/>
      <c r="C12" s="103"/>
      <c r="D12" s="103"/>
      <c r="E12" s="104"/>
    </row>
    <row r="13" spans="1:5" ht="12.75">
      <c r="A13" s="124">
        <v>10</v>
      </c>
      <c r="B13" s="102"/>
      <c r="C13" s="103"/>
      <c r="D13" s="103"/>
      <c r="E13" s="104"/>
    </row>
    <row r="14" spans="1:36" s="61" customFormat="1" ht="12.75">
      <c r="A14" s="124">
        <v>11</v>
      </c>
      <c r="B14" s="102"/>
      <c r="C14" s="103"/>
      <c r="D14" s="103"/>
      <c r="E14" s="104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</row>
    <row r="15" spans="1:5" ht="13.5" thickBot="1">
      <c r="A15" s="91">
        <v>12</v>
      </c>
      <c r="B15" s="114"/>
      <c r="C15" s="115"/>
      <c r="D15" s="115"/>
      <c r="E15" s="197"/>
    </row>
    <row r="16" ht="7.5" customHeight="1" thickBot="1"/>
    <row r="17" spans="1:4" ht="21" thickBot="1">
      <c r="A17" s="133" t="s">
        <v>25</v>
      </c>
      <c r="B17" s="134">
        <v>0.1</v>
      </c>
      <c r="C17" s="5"/>
      <c r="D17" s="6"/>
    </row>
    <row r="18" spans="3:4" ht="12.75">
      <c r="C18" s="5"/>
      <c r="D18" s="6"/>
    </row>
    <row r="19" spans="3:4" ht="12.75">
      <c r="C19" s="5"/>
      <c r="D19" s="6"/>
    </row>
    <row r="20" spans="3:4" ht="12.75">
      <c r="C20" s="5"/>
      <c r="D20" s="6"/>
    </row>
    <row r="21" spans="3:4" ht="12.75">
      <c r="C21" s="5"/>
      <c r="D21" s="6"/>
    </row>
    <row r="22" spans="3:4" ht="12.75">
      <c r="C22" s="5"/>
      <c r="D22" s="6"/>
    </row>
    <row r="23" spans="3:4" ht="12.75">
      <c r="C23" s="5"/>
      <c r="D23" s="6"/>
    </row>
    <row r="24" spans="3:4" ht="12.75">
      <c r="C24" s="5"/>
      <c r="D24" s="6"/>
    </row>
    <row r="25" spans="3:4" ht="12.75">
      <c r="C25" s="5"/>
      <c r="D25" s="6"/>
    </row>
    <row r="26" spans="3:4" ht="12.75">
      <c r="C26" s="5"/>
      <c r="D26" s="6"/>
    </row>
    <row r="27" spans="3:4" ht="12.75">
      <c r="C27" s="5"/>
      <c r="D27" s="6"/>
    </row>
    <row r="28" spans="3:4" ht="12.75">
      <c r="C28" s="5"/>
      <c r="D28" s="6"/>
    </row>
    <row r="29" spans="2:3" ht="12.75">
      <c r="B29" s="5"/>
      <c r="C29" s="5"/>
    </row>
    <row r="33" ht="12.75">
      <c r="C33" s="5"/>
    </row>
    <row r="34" ht="12.75">
      <c r="C34" s="5"/>
    </row>
    <row r="35" ht="12.75">
      <c r="C35" s="5"/>
    </row>
    <row r="36" ht="12.75">
      <c r="C36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F36"/>
  <sheetViews>
    <sheetView showGridLines="0" zoomScale="130" zoomScaleNormal="130" zoomScalePageLayoutView="0" workbookViewId="0" topLeftCell="A1">
      <selection activeCell="J7" sqref="J7"/>
    </sheetView>
  </sheetViews>
  <sheetFormatPr defaultColWidth="9.140625" defaultRowHeight="12.75"/>
  <cols>
    <col min="1" max="1" width="10.57421875" style="0" customWidth="1"/>
    <col min="2" max="2" width="9.8515625" style="0" customWidth="1"/>
    <col min="3" max="3" width="8.7109375" style="0" customWidth="1"/>
    <col min="4" max="4" width="8.28125" style="0" customWidth="1"/>
    <col min="5" max="5" width="10.140625" style="0" customWidth="1"/>
    <col min="6" max="6" width="8.140625" style="0" customWidth="1"/>
  </cols>
  <sheetData>
    <row r="1" ht="16.5" thickBot="1">
      <c r="A1" s="50" t="s">
        <v>123</v>
      </c>
    </row>
    <row r="2" spans="1:6" ht="29.25" thickBot="1">
      <c r="A2" s="181" t="s">
        <v>120</v>
      </c>
      <c r="B2" s="56" t="s">
        <v>29</v>
      </c>
      <c r="C2" s="57" t="s">
        <v>31</v>
      </c>
      <c r="D2" s="57" t="s">
        <v>39</v>
      </c>
      <c r="E2" s="57" t="s">
        <v>32</v>
      </c>
      <c r="F2" s="189" t="s">
        <v>33</v>
      </c>
    </row>
    <row r="3" spans="1:6" ht="12.75">
      <c r="A3" s="120">
        <v>0</v>
      </c>
      <c r="B3" s="121"/>
      <c r="C3" s="127">
        <v>7367</v>
      </c>
      <c r="D3" s="127">
        <v>673</v>
      </c>
      <c r="E3" s="122"/>
      <c r="F3" s="123"/>
    </row>
    <row r="4" spans="1:6" ht="12.75">
      <c r="A4" s="124">
        <v>1</v>
      </c>
      <c r="B4" s="102">
        <v>8415</v>
      </c>
      <c r="C4" s="103">
        <f aca="true" t="shared" si="0" ref="C4:C9">$B$17*B4+(1-$B$17)*(C3+D3)</f>
        <v>8077.5</v>
      </c>
      <c r="D4" s="103">
        <f aca="true" t="shared" si="1" ref="D4:D9">$B$18*(C4-C3)+(1-$B$18)*D3</f>
        <v>680.5</v>
      </c>
      <c r="E4" s="103">
        <f aca="true" t="shared" si="2" ref="E4:E10">C3+D3</f>
        <v>8040</v>
      </c>
      <c r="F4" s="104">
        <f aca="true" t="shared" si="3" ref="F4:F9">E4-B4</f>
        <v>-375</v>
      </c>
    </row>
    <row r="5" spans="1:6" ht="12.75">
      <c r="A5" s="124">
        <v>2</v>
      </c>
      <c r="B5" s="102">
        <v>8732</v>
      </c>
      <c r="C5" s="103">
        <f t="shared" si="0"/>
        <v>8755.4</v>
      </c>
      <c r="D5" s="103">
        <f t="shared" si="1"/>
        <v>679.9799999999999</v>
      </c>
      <c r="E5" s="103">
        <f t="shared" si="2"/>
        <v>8758</v>
      </c>
      <c r="F5" s="104">
        <f t="shared" si="3"/>
        <v>26</v>
      </c>
    </row>
    <row r="6" spans="1:6" ht="12.75">
      <c r="A6" s="124">
        <v>3</v>
      </c>
      <c r="B6" s="102">
        <v>9014</v>
      </c>
      <c r="C6" s="103">
        <f t="shared" si="0"/>
        <v>9393.241999999998</v>
      </c>
      <c r="D6" s="103">
        <f t="shared" si="1"/>
        <v>671.5523999999997</v>
      </c>
      <c r="E6" s="103">
        <f t="shared" si="2"/>
        <v>9435.38</v>
      </c>
      <c r="F6" s="104">
        <f t="shared" si="3"/>
        <v>421.3799999999992</v>
      </c>
    </row>
    <row r="7" spans="1:6" ht="12.75">
      <c r="A7" s="124">
        <v>4</v>
      </c>
      <c r="B7" s="102">
        <v>9808</v>
      </c>
      <c r="C7" s="103">
        <f t="shared" si="0"/>
        <v>10039.114959999999</v>
      </c>
      <c r="D7" s="103">
        <f t="shared" si="1"/>
        <v>666.416512</v>
      </c>
      <c r="E7" s="103">
        <f t="shared" si="2"/>
        <v>10064.794399999999</v>
      </c>
      <c r="F7" s="104">
        <f t="shared" si="3"/>
        <v>256.79439999999886</v>
      </c>
    </row>
    <row r="8" spans="1:6" ht="12.75">
      <c r="A8" s="124">
        <v>5</v>
      </c>
      <c r="B8" s="102">
        <v>10413</v>
      </c>
      <c r="C8" s="103">
        <f t="shared" si="0"/>
        <v>10676.278324799998</v>
      </c>
      <c r="D8" s="103">
        <f t="shared" si="1"/>
        <v>660.5658825599997</v>
      </c>
      <c r="E8" s="103">
        <f t="shared" si="2"/>
        <v>10705.531471999999</v>
      </c>
      <c r="F8" s="104">
        <f t="shared" si="3"/>
        <v>292.53147199999876</v>
      </c>
    </row>
    <row r="9" spans="1:6" ht="12.75">
      <c r="A9" s="124">
        <v>6</v>
      </c>
      <c r="B9" s="102">
        <v>11961</v>
      </c>
      <c r="C9" s="103">
        <f t="shared" si="0"/>
        <v>11399.259786624</v>
      </c>
      <c r="D9" s="103">
        <f t="shared" si="1"/>
        <v>673.0489984128002</v>
      </c>
      <c r="E9" s="103">
        <f t="shared" si="2"/>
        <v>11336.844207359998</v>
      </c>
      <c r="F9" s="104">
        <f t="shared" si="3"/>
        <v>-624.1557926400019</v>
      </c>
    </row>
    <row r="10" spans="1:6" ht="12.75">
      <c r="A10" s="124">
        <v>7</v>
      </c>
      <c r="B10" s="102"/>
      <c r="C10" s="103"/>
      <c r="D10" s="103"/>
      <c r="E10" s="199">
        <f t="shared" si="2"/>
        <v>12072.3087850368</v>
      </c>
      <c r="F10" s="104"/>
    </row>
    <row r="11" spans="1:6" ht="12.75">
      <c r="A11" s="124">
        <v>8</v>
      </c>
      <c r="B11" s="102"/>
      <c r="C11" s="103"/>
      <c r="D11" s="103"/>
      <c r="E11" s="103"/>
      <c r="F11" s="104"/>
    </row>
    <row r="12" spans="1:6" ht="12.75">
      <c r="A12" s="124">
        <v>9</v>
      </c>
      <c r="B12" s="102"/>
      <c r="C12" s="103"/>
      <c r="D12" s="103"/>
      <c r="E12" s="103"/>
      <c r="F12" s="104"/>
    </row>
    <row r="13" spans="1:6" ht="12.75">
      <c r="A13" s="124">
        <v>10</v>
      </c>
      <c r="B13" s="102"/>
      <c r="C13" s="103"/>
      <c r="D13" s="103"/>
      <c r="E13" s="103"/>
      <c r="F13" s="104"/>
    </row>
    <row r="14" spans="1:6" ht="12.75">
      <c r="A14" s="124">
        <v>11</v>
      </c>
      <c r="B14" s="102"/>
      <c r="C14" s="103"/>
      <c r="D14" s="103"/>
      <c r="E14" s="103"/>
      <c r="F14" s="104"/>
    </row>
    <row r="15" spans="1:6" ht="13.5" thickBot="1">
      <c r="A15" s="91">
        <v>12</v>
      </c>
      <c r="B15" s="114"/>
      <c r="C15" s="115"/>
      <c r="D15" s="115"/>
      <c r="E15" s="115"/>
      <c r="F15" s="197"/>
    </row>
    <row r="16" ht="6" customHeight="1" thickBot="1"/>
    <row r="17" spans="1:5" ht="21" thickBot="1">
      <c r="A17" s="133" t="s">
        <v>25</v>
      </c>
      <c r="B17" s="138">
        <v>0.1</v>
      </c>
      <c r="C17" s="5"/>
      <c r="D17" s="5"/>
      <c r="E17" s="6"/>
    </row>
    <row r="18" spans="1:5" ht="21" thickBot="1">
      <c r="A18" s="136" t="s">
        <v>26</v>
      </c>
      <c r="B18" s="137">
        <v>0.2</v>
      </c>
      <c r="C18" s="5"/>
      <c r="D18" s="5"/>
      <c r="E18" s="6"/>
    </row>
    <row r="19" spans="3:5" ht="12.75">
      <c r="C19" s="5"/>
      <c r="D19" s="5"/>
      <c r="E19" s="6"/>
    </row>
    <row r="20" spans="3:5" ht="12.75">
      <c r="C20" s="5"/>
      <c r="D20" s="5"/>
      <c r="E20" s="6"/>
    </row>
    <row r="21" spans="3:5" ht="12.75">
      <c r="C21" s="5"/>
      <c r="D21" s="5"/>
      <c r="E21" s="6"/>
    </row>
    <row r="22" spans="3:5" ht="12.75">
      <c r="C22" s="5"/>
      <c r="D22" s="5"/>
      <c r="E22" s="6"/>
    </row>
    <row r="23" spans="3:5" ht="12.75">
      <c r="C23" s="5"/>
      <c r="D23" s="5"/>
      <c r="E23" s="6"/>
    </row>
    <row r="24" spans="3:5" ht="12.75">
      <c r="C24" s="5"/>
      <c r="D24" s="5"/>
      <c r="E24" s="6"/>
    </row>
    <row r="25" spans="3:5" ht="12.75">
      <c r="C25" s="5"/>
      <c r="D25" s="5"/>
      <c r="E25" s="6"/>
    </row>
    <row r="26" spans="3:5" ht="12.75">
      <c r="C26" s="5"/>
      <c r="D26" s="5"/>
      <c r="E26" s="6"/>
    </row>
    <row r="27" spans="3:5" ht="12.75">
      <c r="C27" s="5"/>
      <c r="D27" s="5"/>
      <c r="E27" s="6"/>
    </row>
    <row r="28" spans="3:5" ht="12.75">
      <c r="C28" s="5"/>
      <c r="D28" s="5"/>
      <c r="E28" s="6"/>
    </row>
    <row r="29" spans="2:4" ht="12.75">
      <c r="B29" s="5"/>
      <c r="C29" s="5"/>
      <c r="D29" s="5"/>
    </row>
    <row r="33" spans="3:4" ht="12.75">
      <c r="C33" s="5"/>
      <c r="D33" s="5"/>
    </row>
    <row r="34" spans="3:4" ht="12.75">
      <c r="C34" s="5"/>
      <c r="D34" s="5"/>
    </row>
    <row r="35" spans="3:4" ht="12.75">
      <c r="C35" s="5"/>
      <c r="D35" s="5"/>
    </row>
    <row r="36" spans="3:4" ht="12.75">
      <c r="C36" s="5"/>
      <c r="D36" s="5"/>
    </row>
  </sheetData>
  <sheetProtection/>
  <printOptions/>
  <pageMargins left="0.75" right="0.75" top="1" bottom="1" header="0.5" footer="0.5"/>
  <pageSetup horizontalDpi="300" verticalDpi="300" orientation="landscape" scale="98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ht="12.75">
      <c r="A1" t="s">
        <v>99</v>
      </c>
    </row>
    <row r="2" ht="13.5" thickBot="1"/>
    <row r="3" spans="1:2" ht="12.75">
      <c r="A3" s="178" t="s">
        <v>100</v>
      </c>
      <c r="B3" s="178"/>
    </row>
    <row r="4" spans="1:2" ht="12.75">
      <c r="A4" s="1" t="s">
        <v>116</v>
      </c>
      <c r="B4" s="1">
        <v>0.9556648278819421</v>
      </c>
    </row>
    <row r="5" spans="1:2" ht="12.75">
      <c r="A5" s="1" t="s">
        <v>117</v>
      </c>
      <c r="B5" s="1">
        <v>0.9132952632506219</v>
      </c>
    </row>
    <row r="6" spans="1:2" ht="12.75">
      <c r="A6" s="175" t="s">
        <v>118</v>
      </c>
      <c r="B6" s="1">
        <v>0.8916190790632774</v>
      </c>
    </row>
    <row r="7" spans="1:2" ht="12.75">
      <c r="A7" s="175" t="s">
        <v>101</v>
      </c>
      <c r="B7" s="1">
        <v>433.9514017117805</v>
      </c>
    </row>
    <row r="8" spans="1:2" ht="13.5" thickBot="1">
      <c r="A8" s="176" t="s">
        <v>102</v>
      </c>
      <c r="B8" s="2">
        <v>6</v>
      </c>
    </row>
    <row r="10" ht="13.5" thickBot="1">
      <c r="A10" t="s">
        <v>6</v>
      </c>
    </row>
    <row r="11" spans="1:6" ht="12.75">
      <c r="A11" s="177"/>
      <c r="B11" s="177" t="s">
        <v>107</v>
      </c>
      <c r="C11" s="177" t="s">
        <v>12</v>
      </c>
      <c r="D11" s="177" t="s">
        <v>13</v>
      </c>
      <c r="E11" s="177" t="s">
        <v>14</v>
      </c>
      <c r="F11" s="177" t="s">
        <v>108</v>
      </c>
    </row>
    <row r="12" spans="1:6" ht="12.75">
      <c r="A12" s="175" t="s">
        <v>103</v>
      </c>
      <c r="B12" s="1">
        <v>1</v>
      </c>
      <c r="C12" s="1">
        <v>7934335.557142857</v>
      </c>
      <c r="D12" s="1">
        <v>7934335.557142857</v>
      </c>
      <c r="E12" s="1">
        <v>42.133581047158806</v>
      </c>
      <c r="F12" s="1">
        <v>0.002904838456567018</v>
      </c>
    </row>
    <row r="13" spans="1:6" ht="12.75">
      <c r="A13" s="175" t="s">
        <v>104</v>
      </c>
      <c r="B13" s="1">
        <v>4</v>
      </c>
      <c r="C13" s="1">
        <v>753255.2761904764</v>
      </c>
      <c r="D13" s="1">
        <v>188313.8190476191</v>
      </c>
      <c r="E13" s="1"/>
      <c r="F13" s="1"/>
    </row>
    <row r="14" spans="1:6" ht="13.5" thickBot="1">
      <c r="A14" s="176" t="s">
        <v>105</v>
      </c>
      <c r="B14" s="2">
        <v>5</v>
      </c>
      <c r="C14" s="2">
        <v>8687590.833333334</v>
      </c>
      <c r="D14" s="2"/>
      <c r="E14" s="2"/>
      <c r="F14" s="2"/>
    </row>
    <row r="15" ht="13.5" thickBot="1"/>
    <row r="16" spans="1:9" ht="12.75">
      <c r="A16" s="177"/>
      <c r="B16" s="177" t="s">
        <v>109</v>
      </c>
      <c r="C16" s="177" t="s">
        <v>101</v>
      </c>
      <c r="D16" s="177" t="s">
        <v>110</v>
      </c>
      <c r="E16" s="177" t="s">
        <v>111</v>
      </c>
      <c r="F16" s="177" t="s">
        <v>112</v>
      </c>
      <c r="G16" s="177" t="s">
        <v>113</v>
      </c>
      <c r="H16" s="177" t="s">
        <v>114</v>
      </c>
      <c r="I16" s="177" t="s">
        <v>115</v>
      </c>
    </row>
    <row r="17" spans="1:9" ht="12.75">
      <c r="A17" s="175" t="s">
        <v>106</v>
      </c>
      <c r="B17" s="179">
        <v>7367.133333333334</v>
      </c>
      <c r="C17" s="1">
        <v>403.9867693888871</v>
      </c>
      <c r="D17" s="1">
        <v>18.236075761782086</v>
      </c>
      <c r="E17" s="1">
        <v>5.318256175710101E-05</v>
      </c>
      <c r="F17" s="1">
        <v>6245.486244961099</v>
      </c>
      <c r="G17" s="1">
        <v>8488.78042170557</v>
      </c>
      <c r="H17" s="1">
        <v>6245.486244961099</v>
      </c>
      <c r="I17" s="1">
        <v>8488.78042170557</v>
      </c>
    </row>
    <row r="18" spans="1:9" ht="13.5" thickBot="1">
      <c r="A18" s="2" t="s">
        <v>119</v>
      </c>
      <c r="B18" s="198">
        <v>673.3428571428572</v>
      </c>
      <c r="C18" s="2">
        <v>103.73422607733644</v>
      </c>
      <c r="D18" s="2">
        <v>6.491038518385083</v>
      </c>
      <c r="E18" s="2">
        <v>0.0029048384565670193</v>
      </c>
      <c r="F18" s="2">
        <v>385.33047292492915</v>
      </c>
      <c r="G18" s="2">
        <v>961.3552413607852</v>
      </c>
      <c r="H18" s="2">
        <v>385.33047292492915</v>
      </c>
      <c r="I18" s="2">
        <v>961.3552413607852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O40"/>
  <sheetViews>
    <sheetView zoomScale="130" zoomScaleNormal="130" zoomScalePageLayoutView="0" workbookViewId="0" topLeftCell="A13">
      <selection activeCell="M23" sqref="M23"/>
    </sheetView>
  </sheetViews>
  <sheetFormatPr defaultColWidth="9.140625" defaultRowHeight="12.75"/>
  <cols>
    <col min="1" max="1" width="14.140625" style="0" customWidth="1"/>
    <col min="3" max="4" width="7.57421875" style="0" customWidth="1"/>
    <col min="5" max="5" width="16.57421875" style="0" customWidth="1"/>
    <col min="6" max="6" width="10.140625" style="0" customWidth="1"/>
    <col min="7" max="7" width="7.421875" style="0" customWidth="1"/>
    <col min="15" max="15" width="9.140625" style="157" customWidth="1"/>
  </cols>
  <sheetData>
    <row r="1" ht="15.75">
      <c r="A1" s="50" t="s">
        <v>132</v>
      </c>
    </row>
    <row r="2" spans="1:14" ht="54">
      <c r="A2" s="239" t="s">
        <v>120</v>
      </c>
      <c r="B2" s="240" t="s">
        <v>29</v>
      </c>
      <c r="C2" s="240" t="s">
        <v>31</v>
      </c>
      <c r="D2" s="240" t="s">
        <v>39</v>
      </c>
      <c r="E2" s="240" t="s">
        <v>40</v>
      </c>
      <c r="F2" s="240" t="s">
        <v>32</v>
      </c>
      <c r="G2" s="240" t="s">
        <v>33</v>
      </c>
      <c r="H2" s="240" t="s">
        <v>72</v>
      </c>
      <c r="I2" s="240" t="s">
        <v>34</v>
      </c>
      <c r="J2" s="246" t="s">
        <v>36</v>
      </c>
      <c r="K2" s="246" t="s">
        <v>28</v>
      </c>
      <c r="L2" s="247" t="s">
        <v>133</v>
      </c>
      <c r="M2" s="246" t="s">
        <v>97</v>
      </c>
      <c r="N2" s="246" t="s">
        <v>38</v>
      </c>
    </row>
    <row r="3" spans="1:14" ht="12.75">
      <c r="A3" s="14">
        <v>0</v>
      </c>
      <c r="B3" s="14"/>
      <c r="C3" s="199">
        <v>18439</v>
      </c>
      <c r="D3" s="199">
        <v>524</v>
      </c>
      <c r="E3" s="103"/>
      <c r="F3" s="103"/>
      <c r="G3" s="103"/>
      <c r="H3" s="31"/>
      <c r="I3" s="31"/>
      <c r="J3" s="31"/>
      <c r="K3" s="31"/>
      <c r="L3" s="31"/>
      <c r="M3" s="31"/>
      <c r="N3" s="31"/>
    </row>
    <row r="4" spans="1:15" ht="12.75">
      <c r="A4" s="14">
        <v>1</v>
      </c>
      <c r="B4" s="20">
        <v>8000</v>
      </c>
      <c r="C4" s="103">
        <f aca="true" t="shared" si="0" ref="C4:C15">$B$21*(B4/E4)+(1-$B$21)*(C3+D3)</f>
        <v>18768.82765957447</v>
      </c>
      <c r="D4" s="103">
        <f aca="true" t="shared" si="1" ref="D4:D15">$B$22*(C4-C3)+(1-$B$22)*D3</f>
        <v>485.1655319148937</v>
      </c>
      <c r="E4" s="210">
        <v>0.47</v>
      </c>
      <c r="F4" s="103">
        <f aca="true" t="shared" si="2" ref="F4:F15">(C3+D3)*E4</f>
        <v>8912.609999999999</v>
      </c>
      <c r="G4" s="103">
        <f aca="true" t="shared" si="3" ref="G4:G15">F4-B4</f>
        <v>912.6099999999988</v>
      </c>
      <c r="H4" s="103">
        <f>SUMSQ($G$2:G4)/A4</f>
        <v>832857.0120999977</v>
      </c>
      <c r="I4" s="103">
        <f aca="true" t="shared" si="4" ref="I4:I15">ABS(G4)</f>
        <v>912.6099999999988</v>
      </c>
      <c r="J4" s="105">
        <f>SUM($I$2:I4)/A4</f>
        <v>912.6099999999988</v>
      </c>
      <c r="K4" s="103">
        <f>100*I4/B4</f>
        <v>11.407624999999985</v>
      </c>
      <c r="L4" s="250">
        <f>SUM($K$2:K4)/A4</f>
        <v>11.407624999999985</v>
      </c>
      <c r="M4" s="153">
        <f>SUM($G$2:G4)</f>
        <v>912.6099999999988</v>
      </c>
      <c r="N4" s="251">
        <f aca="true" t="shared" si="5" ref="N4:N15">M4/J4</f>
        <v>1</v>
      </c>
      <c r="O4" s="257"/>
    </row>
    <row r="5" spans="1:15" ht="12.75">
      <c r="A5" s="14">
        <v>2</v>
      </c>
      <c r="B5" s="20">
        <v>13000</v>
      </c>
      <c r="C5" s="103">
        <f t="shared" si="0"/>
        <v>19240.35857822278</v>
      </c>
      <c r="D5" s="103">
        <f t="shared" si="1"/>
        <v>482.43860926157697</v>
      </c>
      <c r="E5" s="210">
        <v>0.68</v>
      </c>
      <c r="F5" s="199">
        <f t="shared" si="2"/>
        <v>13092.715370212765</v>
      </c>
      <c r="G5" s="103">
        <f t="shared" si="3"/>
        <v>92.71537021276527</v>
      </c>
      <c r="H5" s="103">
        <f>SUMSQ($G$2:G5)/A5</f>
        <v>420726.5759868439</v>
      </c>
      <c r="I5" s="103">
        <f t="shared" si="4"/>
        <v>92.71537021276527</v>
      </c>
      <c r="J5" s="105">
        <f>SUM($I$2:I5)/A5</f>
        <v>502.662685106382</v>
      </c>
      <c r="K5" s="103">
        <f aca="true" t="shared" si="6" ref="K5:K15">100*I5/B5</f>
        <v>0.7131951554828098</v>
      </c>
      <c r="L5" s="250">
        <f>SUM($K$2:K5)/A5</f>
        <v>6.060410077741397</v>
      </c>
      <c r="M5" s="153">
        <f>SUM($G$2:G5)</f>
        <v>1005.325370212764</v>
      </c>
      <c r="N5" s="251">
        <f t="shared" si="5"/>
        <v>2</v>
      </c>
      <c r="O5" s="257"/>
    </row>
    <row r="6" spans="1:15" ht="12.75">
      <c r="A6" s="14">
        <v>3</v>
      </c>
      <c r="B6" s="20">
        <v>23000</v>
      </c>
      <c r="C6" s="103">
        <f t="shared" si="0"/>
        <v>19716.329434547886</v>
      </c>
      <c r="D6" s="103">
        <f t="shared" si="1"/>
        <v>481.1450586742832</v>
      </c>
      <c r="E6" s="210">
        <v>1.17</v>
      </c>
      <c r="F6" s="103">
        <f t="shared" si="2"/>
        <v>23075.672709356695</v>
      </c>
      <c r="G6" s="103">
        <f t="shared" si="3"/>
        <v>75.67270935669512</v>
      </c>
      <c r="H6" s="103">
        <f>SUMSQ($G$2:G6)/A6</f>
        <v>282393.17030502355</v>
      </c>
      <c r="I6" s="103">
        <f t="shared" si="4"/>
        <v>75.67270935669512</v>
      </c>
      <c r="J6" s="105">
        <f>SUM($I$2:I6)/A6</f>
        <v>360.33269318981974</v>
      </c>
      <c r="K6" s="103">
        <f t="shared" si="6"/>
        <v>0.3290117798117179</v>
      </c>
      <c r="L6" s="250">
        <f>SUM($K$2:K6)/A6</f>
        <v>4.149943978431504</v>
      </c>
      <c r="M6" s="153">
        <f>SUM($G$2:G6)</f>
        <v>1080.9980795694592</v>
      </c>
      <c r="N6" s="251">
        <f t="shared" si="5"/>
        <v>3</v>
      </c>
      <c r="O6" s="257"/>
    </row>
    <row r="7" spans="1:15" ht="12.75">
      <c r="A7" s="14">
        <v>4</v>
      </c>
      <c r="B7" s="20">
        <v>34000</v>
      </c>
      <c r="C7" s="103">
        <f t="shared" si="0"/>
        <v>20213.655187612527</v>
      </c>
      <c r="D7" s="103">
        <f t="shared" si="1"/>
        <v>484.3811975523547</v>
      </c>
      <c r="E7" s="210">
        <v>1.67</v>
      </c>
      <c r="F7" s="103">
        <f t="shared" si="2"/>
        <v>33729.78240368102</v>
      </c>
      <c r="G7" s="103">
        <f t="shared" si="3"/>
        <v>-270.2175963189802</v>
      </c>
      <c r="H7" s="103">
        <f>SUMSQ($G$2:G7)/A7</f>
        <v>230049.2650688695</v>
      </c>
      <c r="I7" s="103">
        <f t="shared" si="4"/>
        <v>270.2175963189802</v>
      </c>
      <c r="J7" s="105">
        <f>SUM($I$2:I7)/A7</f>
        <v>337.80391897210984</v>
      </c>
      <c r="K7" s="103">
        <f t="shared" si="6"/>
        <v>0.7947576362322948</v>
      </c>
      <c r="L7" s="250">
        <f>SUM($K$2:K7)/A7</f>
        <v>3.311147392881702</v>
      </c>
      <c r="M7" s="153">
        <f>SUM($G$2:G7)</f>
        <v>810.7804832504789</v>
      </c>
      <c r="N7" s="251">
        <f t="shared" si="5"/>
        <v>2.40015120522453</v>
      </c>
      <c r="O7" s="257"/>
    </row>
    <row r="8" spans="1:15" ht="12.75">
      <c r="A8" s="14">
        <v>5</v>
      </c>
      <c r="B8" s="20">
        <v>10000</v>
      </c>
      <c r="C8" s="103">
        <f t="shared" si="0"/>
        <v>20775.888982644996</v>
      </c>
      <c r="D8" s="103">
        <f t="shared" si="1"/>
        <v>499.95171704837765</v>
      </c>
      <c r="E8" s="238">
        <f>$B$23*(B4/C4)+(1-$B$23)*E4</f>
        <v>0.46562386625900415</v>
      </c>
      <c r="F8" s="103">
        <f t="shared" si="2"/>
        <v>9637.499725630014</v>
      </c>
      <c r="G8" s="103">
        <f t="shared" si="3"/>
        <v>-362.5002743699861</v>
      </c>
      <c r="H8" s="103">
        <f>SUMSQ($G$2:G8)/A8</f>
        <v>210320.70183875863</v>
      </c>
      <c r="I8" s="103">
        <f t="shared" si="4"/>
        <v>362.5002743699861</v>
      </c>
      <c r="J8" s="105">
        <f>SUM($I$2:I8)/A8</f>
        <v>342.7431900516851</v>
      </c>
      <c r="K8" s="103">
        <f t="shared" si="6"/>
        <v>3.6250027436998606</v>
      </c>
      <c r="L8" s="250">
        <f>SUM($K$2:K8)/A8</f>
        <v>3.373918463045334</v>
      </c>
      <c r="M8" s="153">
        <f>SUM($G$2:G8)</f>
        <v>448.28020888049286</v>
      </c>
      <c r="N8" s="251">
        <f t="shared" si="5"/>
        <v>1.3079186454817469</v>
      </c>
      <c r="O8" s="257"/>
    </row>
    <row r="9" spans="1:15" ht="12.75">
      <c r="A9" s="14">
        <v>6</v>
      </c>
      <c r="B9" s="20">
        <v>18000</v>
      </c>
      <c r="C9" s="103">
        <f t="shared" si="0"/>
        <v>21797.004776809</v>
      </c>
      <c r="D9" s="103">
        <f t="shared" si="1"/>
        <v>604.1845324715032</v>
      </c>
      <c r="E9" s="238">
        <f aca="true" t="shared" si="7" ref="E9:E19">$B$23*(B5/C5)+(1-$B$23)*E5</f>
        <v>0.6795663083260521</v>
      </c>
      <c r="F9" s="103">
        <f t="shared" si="2"/>
        <v>14458.344520823795</v>
      </c>
      <c r="G9" s="103">
        <f t="shared" si="3"/>
        <v>-3541.6554791762046</v>
      </c>
      <c r="H9" s="103">
        <f>SUMSQ($G$2:G9)/A9</f>
        <v>2265821.173728771</v>
      </c>
      <c r="I9" s="103">
        <f t="shared" si="4"/>
        <v>3541.6554791762046</v>
      </c>
      <c r="J9" s="105">
        <f>SUM($I$2:I9)/A9</f>
        <v>875.895238239105</v>
      </c>
      <c r="K9" s="103">
        <f t="shared" si="6"/>
        <v>19.675863773201137</v>
      </c>
      <c r="L9" s="250">
        <f>SUM($K$2:K9)/A9</f>
        <v>6.090909348071301</v>
      </c>
      <c r="M9" s="153">
        <f>SUM($G$2:G9)</f>
        <v>-3093.3752702957117</v>
      </c>
      <c r="N9" s="251">
        <f t="shared" si="5"/>
        <v>-3.5316726650034274</v>
      </c>
      <c r="O9" s="257"/>
    </row>
    <row r="10" spans="1:15" ht="12.75">
      <c r="A10" s="14">
        <v>7</v>
      </c>
      <c r="B10" s="20">
        <v>23000</v>
      </c>
      <c r="C10" s="103">
        <f t="shared" si="0"/>
        <v>22127.462894764016</v>
      </c>
      <c r="D10" s="103">
        <f t="shared" si="1"/>
        <v>549.4392495682056</v>
      </c>
      <c r="E10" s="238">
        <f t="shared" si="7"/>
        <v>1.1696545734405224</v>
      </c>
      <c r="F10" s="103">
        <f t="shared" si="2"/>
        <v>26201.65352610688</v>
      </c>
      <c r="G10" s="103">
        <f t="shared" si="3"/>
        <v>3201.6535261068784</v>
      </c>
      <c r="H10" s="103">
        <f>SUMSQ($G$2:G10)/A10</f>
        <v>3406501.7633721763</v>
      </c>
      <c r="I10" s="103">
        <f t="shared" si="4"/>
        <v>3201.6535261068784</v>
      </c>
      <c r="J10" s="105">
        <f>SUM($I$2:I10)/A10</f>
        <v>1208.1464222202155</v>
      </c>
      <c r="K10" s="103">
        <f t="shared" si="6"/>
        <v>13.920232722203819</v>
      </c>
      <c r="L10" s="250">
        <f>SUM($K$2:K10)/A10</f>
        <v>7.209384115804518</v>
      </c>
      <c r="M10" s="153">
        <f>SUM($G$2:G10)</f>
        <v>108.27825581116667</v>
      </c>
      <c r="N10" s="251">
        <f t="shared" si="5"/>
        <v>0.08962345442548536</v>
      </c>
      <c r="O10" s="257"/>
    </row>
    <row r="11" spans="1:15" ht="12.75">
      <c r="A11" s="14">
        <v>8</v>
      </c>
      <c r="B11" s="20">
        <v>38000</v>
      </c>
      <c r="C11" s="103">
        <f t="shared" si="0"/>
        <v>22683.022898659055</v>
      </c>
      <c r="D11" s="103">
        <f t="shared" si="1"/>
        <v>550.6634004335724</v>
      </c>
      <c r="E11" s="238">
        <f t="shared" si="7"/>
        <v>1.6712031264728218</v>
      </c>
      <c r="F11" s="103">
        <f t="shared" si="2"/>
        <v>37897.709762326245</v>
      </c>
      <c r="G11" s="103">
        <f t="shared" si="3"/>
        <v>-102.29023767375475</v>
      </c>
      <c r="H11" s="103">
        <f>SUMSQ($G$2:G11)/A11</f>
        <v>2981996.9545410736</v>
      </c>
      <c r="I11" s="103">
        <f t="shared" si="4"/>
        <v>102.29023767375475</v>
      </c>
      <c r="J11" s="105">
        <f>SUM($I$2:I11)/A11</f>
        <v>1069.914399151908</v>
      </c>
      <c r="K11" s="103">
        <f t="shared" si="6"/>
        <v>0.26918483598356513</v>
      </c>
      <c r="L11" s="250">
        <f>SUM($K$2:K11)/A11</f>
        <v>6.341859205826899</v>
      </c>
      <c r="M11" s="153">
        <f>SUM($G$2:G11)</f>
        <v>5.9880181374119275</v>
      </c>
      <c r="N11" s="251">
        <f t="shared" si="5"/>
        <v>0.005596726375641329</v>
      </c>
      <c r="O11" s="257"/>
    </row>
    <row r="12" spans="1:15" ht="12.75">
      <c r="A12" s="14">
        <v>9</v>
      </c>
      <c r="B12" s="20">
        <v>12000</v>
      </c>
      <c r="C12" s="103">
        <f t="shared" si="0"/>
        <v>23478.84272101808</v>
      </c>
      <c r="D12" s="103">
        <f t="shared" si="1"/>
        <v>599.6946848186632</v>
      </c>
      <c r="E12" s="238">
        <f t="shared" si="7"/>
        <v>0.4671941973635144</v>
      </c>
      <c r="F12" s="103">
        <f t="shared" si="2"/>
        <v>10854.643422300262</v>
      </c>
      <c r="G12" s="103">
        <f t="shared" si="3"/>
        <v>-1145.3565776997384</v>
      </c>
      <c r="H12" s="103">
        <f>SUMSQ($G$2:G12)/A12</f>
        <v>2796424.1473787385</v>
      </c>
      <c r="I12" s="103">
        <f t="shared" si="4"/>
        <v>1145.3565776997384</v>
      </c>
      <c r="J12" s="105">
        <f>SUM($I$2:I12)/A12</f>
        <v>1078.2968634350002</v>
      </c>
      <c r="K12" s="103">
        <f t="shared" si="6"/>
        <v>9.54463814749782</v>
      </c>
      <c r="L12" s="250">
        <f>SUM($K$2:K12)/A12</f>
        <v>6.697723532679223</v>
      </c>
      <c r="M12" s="153">
        <f>SUM($G$2:G12)</f>
        <v>-1139.3685595623265</v>
      </c>
      <c r="N12" s="251">
        <f t="shared" si="5"/>
        <v>-1.0566371823922194</v>
      </c>
      <c r="O12" s="257"/>
    </row>
    <row r="13" spans="1:15" ht="12.75">
      <c r="A13" s="14">
        <v>10</v>
      </c>
      <c r="B13" s="20">
        <v>13000</v>
      </c>
      <c r="C13" s="103">
        <f t="shared" si="0"/>
        <v>23543.370273419234</v>
      </c>
      <c r="D13" s="103">
        <f t="shared" si="1"/>
        <v>492.661258335161</v>
      </c>
      <c r="E13" s="238">
        <f t="shared" si="7"/>
        <v>0.6941898309792651</v>
      </c>
      <c r="F13" s="103">
        <f t="shared" si="2"/>
        <v>16715.075811985724</v>
      </c>
      <c r="G13" s="103">
        <f t="shared" si="3"/>
        <v>3715.0758119857237</v>
      </c>
      <c r="H13" s="103">
        <f>SUMSQ($G$2:G13)/A13</f>
        <v>3896960.5615210035</v>
      </c>
      <c r="I13" s="103">
        <f t="shared" si="4"/>
        <v>3715.0758119857237</v>
      </c>
      <c r="J13" s="105">
        <f>SUM($I$2:I13)/A13</f>
        <v>1341.9747582900725</v>
      </c>
      <c r="K13" s="103">
        <f t="shared" si="6"/>
        <v>28.577506246044027</v>
      </c>
      <c r="L13" s="250">
        <f>SUM($K$2:K13)/A13</f>
        <v>8.885701804015705</v>
      </c>
      <c r="M13" s="153">
        <f>SUM($G$2:G13)</f>
        <v>2575.707252423397</v>
      </c>
      <c r="N13" s="251">
        <f t="shared" si="5"/>
        <v>1.9193410580280446</v>
      </c>
      <c r="O13" s="257"/>
    </row>
    <row r="14" spans="1:15" ht="12.75">
      <c r="A14" s="14">
        <v>11</v>
      </c>
      <c r="B14" s="20">
        <v>32000</v>
      </c>
      <c r="C14" s="103">
        <f t="shared" si="0"/>
        <v>24399.081071996996</v>
      </c>
      <c r="D14" s="103">
        <f t="shared" si="1"/>
        <v>565.2711663836812</v>
      </c>
      <c r="E14" s="238">
        <f t="shared" si="7"/>
        <v>1.156632347678806</v>
      </c>
      <c r="F14" s="103">
        <f t="shared" si="2"/>
        <v>27800.851579454895</v>
      </c>
      <c r="G14" s="103">
        <f t="shared" si="3"/>
        <v>-4199.148420545105</v>
      </c>
      <c r="H14" s="103">
        <f>SUMSQ($G$2:G14)/A14</f>
        <v>5145677.552088771</v>
      </c>
      <c r="I14" s="103">
        <f t="shared" si="4"/>
        <v>4199.148420545105</v>
      </c>
      <c r="J14" s="105">
        <f>SUM($I$2:I14)/A14</f>
        <v>1601.7178184950753</v>
      </c>
      <c r="K14" s="103">
        <f t="shared" si="6"/>
        <v>13.122338814203452</v>
      </c>
      <c r="L14" s="250">
        <f>SUM($K$2:K14)/A14</f>
        <v>9.270850623123682</v>
      </c>
      <c r="M14" s="153">
        <f>SUM($G$2:G14)</f>
        <v>-1623.441168121708</v>
      </c>
      <c r="N14" s="251">
        <f t="shared" si="5"/>
        <v>-1.0135625322861446</v>
      </c>
      <c r="O14" s="257"/>
    </row>
    <row r="15" spans="1:15" ht="12.75">
      <c r="A15" s="14">
        <v>12</v>
      </c>
      <c r="B15" s="20">
        <v>41000</v>
      </c>
      <c r="C15" s="103">
        <f t="shared" si="0"/>
        <v>24920.64371934641</v>
      </c>
      <c r="D15" s="103">
        <f t="shared" si="1"/>
        <v>556.5294625768282</v>
      </c>
      <c r="E15" s="238">
        <f t="shared" si="7"/>
        <v>1.6716089860194865</v>
      </c>
      <c r="F15" s="103">
        <f t="shared" si="2"/>
        <v>41730.63553183282</v>
      </c>
      <c r="G15" s="241">
        <f t="shared" si="3"/>
        <v>730.6355318328206</v>
      </c>
      <c r="H15" s="241">
        <f>SUMSQ($G$2:G15)/A15</f>
        <v>4761356.779446092</v>
      </c>
      <c r="I15" s="241">
        <f t="shared" si="4"/>
        <v>730.6355318328206</v>
      </c>
      <c r="J15" s="253">
        <f>SUM($I$2:I15)/A15</f>
        <v>1529.1276279398874</v>
      </c>
      <c r="K15" s="241">
        <f t="shared" si="6"/>
        <v>1.7820378825190746</v>
      </c>
      <c r="L15" s="210">
        <f>SUM($K$2:K15)/A15</f>
        <v>8.646782894739966</v>
      </c>
      <c r="M15" s="254">
        <f>SUM($G$2:G15)</f>
        <v>-892.8056362888874</v>
      </c>
      <c r="N15" s="256">
        <f t="shared" si="5"/>
        <v>-0.5838660030567344</v>
      </c>
      <c r="O15" s="258"/>
    </row>
    <row r="16" spans="1:14" ht="12.75">
      <c r="A16" s="202">
        <v>13</v>
      </c>
      <c r="B16" s="202"/>
      <c r="C16" s="206"/>
      <c r="D16" s="206"/>
      <c r="E16" s="259">
        <f t="shared" si="7"/>
        <v>0.4715846221053906</v>
      </c>
      <c r="F16" s="260">
        <f>($C$15+$D$15)*E16</f>
        <v>12014.643087310864</v>
      </c>
      <c r="G16" s="31"/>
      <c r="H16" s="31"/>
      <c r="I16" s="31"/>
      <c r="J16" s="31"/>
      <c r="K16" s="31"/>
      <c r="L16" s="31"/>
      <c r="M16" s="31"/>
      <c r="N16" s="31"/>
    </row>
    <row r="17" spans="1:14" ht="12.75">
      <c r="A17" s="202">
        <v>14</v>
      </c>
      <c r="B17" s="202"/>
      <c r="C17" s="206"/>
      <c r="D17" s="206"/>
      <c r="E17" s="259">
        <f t="shared" si="7"/>
        <v>0.6799880909906533</v>
      </c>
      <c r="F17" s="260">
        <f>E17*($C$15+2*$D$15)</f>
        <v>17702.60776265192</v>
      </c>
      <c r="G17" s="31"/>
      <c r="H17" s="31"/>
      <c r="I17" s="31"/>
      <c r="J17" s="31"/>
      <c r="K17" s="31"/>
      <c r="L17" s="31"/>
      <c r="M17" s="31"/>
      <c r="N17" s="31"/>
    </row>
    <row r="18" spans="1:14" ht="12.75">
      <c r="A18" s="202">
        <v>15</v>
      </c>
      <c r="B18" s="202"/>
      <c r="C18" s="206"/>
      <c r="D18" s="206"/>
      <c r="E18" s="259">
        <f t="shared" si="7"/>
        <v>1.1721215932259594</v>
      </c>
      <c r="F18" s="260">
        <f>E18*($C$15+3*$D$15)</f>
        <v>31166.98522159503</v>
      </c>
      <c r="G18" s="31"/>
      <c r="H18" s="31"/>
      <c r="I18" s="31"/>
      <c r="J18" s="31"/>
      <c r="K18" s="31"/>
      <c r="L18" s="31"/>
      <c r="M18" s="31"/>
      <c r="N18" s="31"/>
    </row>
    <row r="19" spans="1:14" ht="12.75">
      <c r="A19" s="202">
        <v>16</v>
      </c>
      <c r="B19" s="202"/>
      <c r="C19" s="206"/>
      <c r="D19" s="206"/>
      <c r="E19" s="259">
        <f t="shared" si="7"/>
        <v>1.6689703223234158</v>
      </c>
      <c r="F19" s="260">
        <f>E19*($C$15+4*$D$15)</f>
        <v>45307.1394069419</v>
      </c>
      <c r="G19" s="31"/>
      <c r="H19" s="31"/>
      <c r="I19" s="31"/>
      <c r="J19" s="31"/>
      <c r="K19" s="31"/>
      <c r="L19" s="31"/>
      <c r="M19" s="31"/>
      <c r="N19" s="31"/>
    </row>
    <row r="20" ht="13.5" thickBot="1"/>
    <row r="21" spans="1:6" ht="20.25">
      <c r="A21" s="135" t="s">
        <v>25</v>
      </c>
      <c r="B21" s="139">
        <v>0.1</v>
      </c>
      <c r="D21" s="144" t="s">
        <v>124</v>
      </c>
      <c r="E21" s="5"/>
      <c r="F21" s="6"/>
    </row>
    <row r="22" spans="1:6" ht="20.25">
      <c r="A22" s="140" t="s">
        <v>26</v>
      </c>
      <c r="B22" s="141">
        <v>0.2</v>
      </c>
      <c r="D22" s="144" t="s">
        <v>125</v>
      </c>
      <c r="E22" s="5"/>
      <c r="F22" s="6"/>
    </row>
    <row r="23" spans="1:6" ht="21" thickBot="1">
      <c r="A23" s="142" t="s">
        <v>27</v>
      </c>
      <c r="B23" s="143">
        <v>0.1</v>
      </c>
      <c r="C23" s="5"/>
      <c r="D23" s="144" t="s">
        <v>126</v>
      </c>
      <c r="E23" s="5"/>
      <c r="F23" s="6"/>
    </row>
    <row r="24" spans="3:6" ht="12.75">
      <c r="C24" s="5"/>
      <c r="D24" s="5"/>
      <c r="E24" s="5"/>
      <c r="F24" s="6"/>
    </row>
    <row r="25" spans="3:6" ht="12.75">
      <c r="C25" s="5"/>
      <c r="D25" s="5"/>
      <c r="E25" s="5"/>
      <c r="F25" s="6"/>
    </row>
    <row r="26" spans="3:6" ht="12.75">
      <c r="C26" s="5"/>
      <c r="D26" s="5"/>
      <c r="E26" s="5"/>
      <c r="F26" s="6"/>
    </row>
    <row r="27" spans="3:6" ht="12.75">
      <c r="C27" s="5"/>
      <c r="D27" s="5"/>
      <c r="E27" s="5"/>
      <c r="F27" s="6"/>
    </row>
    <row r="28" spans="3:6" ht="12.75">
      <c r="C28" s="5"/>
      <c r="D28" s="5"/>
      <c r="E28" s="5"/>
      <c r="F28" s="6"/>
    </row>
    <row r="29" spans="3:6" ht="12.75">
      <c r="C29" s="5"/>
      <c r="D29" s="5"/>
      <c r="E29" s="5"/>
      <c r="F29" s="6"/>
    </row>
    <row r="30" spans="3:6" ht="12.75">
      <c r="C30" s="5"/>
      <c r="D30" s="5"/>
      <c r="E30" s="5"/>
      <c r="F30" s="6"/>
    </row>
    <row r="31" spans="3:6" ht="12.75">
      <c r="C31" s="5"/>
      <c r="D31" s="5"/>
      <c r="E31" s="5"/>
      <c r="F31" s="6"/>
    </row>
    <row r="32" spans="3:6" ht="12.75">
      <c r="C32" s="5"/>
      <c r="D32" s="5"/>
      <c r="E32" s="5"/>
      <c r="F32" s="6"/>
    </row>
    <row r="33" spans="2:5" ht="12.75">
      <c r="B33" s="5"/>
      <c r="C33" s="5"/>
      <c r="D33" s="5"/>
      <c r="E33" s="5"/>
    </row>
    <row r="37" spans="3:5" ht="12.75">
      <c r="C37" s="5"/>
      <c r="D37" s="5"/>
      <c r="E37" s="5"/>
    </row>
    <row r="38" spans="3:5" ht="12.75">
      <c r="C38" s="5"/>
      <c r="D38" s="5"/>
      <c r="E38" s="5"/>
    </row>
    <row r="39" spans="3:5" ht="12.75">
      <c r="C39" s="5"/>
      <c r="D39" s="5"/>
      <c r="E39" s="5"/>
    </row>
    <row r="40" spans="3:5" ht="12.75">
      <c r="C40" s="5"/>
      <c r="D40" s="5"/>
      <c r="E40" s="5"/>
    </row>
  </sheetData>
  <sheetProtection/>
  <printOptions/>
  <pageMargins left="0.75" right="0.75" top="1" bottom="1" header="0.5" footer="0.5"/>
  <pageSetup horizontalDpi="300" verticalDpi="300" orientation="landscape" scale="87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Kellogg Information Systems</dc:creator>
  <cp:keywords/>
  <dc:description/>
  <cp:lastModifiedBy>Eric Ting</cp:lastModifiedBy>
  <cp:lastPrinted>2001-09-14T15:50:25Z</cp:lastPrinted>
  <dcterms:created xsi:type="dcterms:W3CDTF">1998-03-03T19:47:06Z</dcterms:created>
  <dcterms:modified xsi:type="dcterms:W3CDTF">2014-04-07T00:54:24Z</dcterms:modified>
  <cp:category/>
  <cp:version/>
  <cp:contentType/>
  <cp:contentStatus/>
</cp:coreProperties>
</file>