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85" windowHeight="6285" activeTab="1"/>
  </bookViews>
  <sheets>
    <sheet name="重置型" sheetId="1" r:id="rId1"/>
    <sheet name="擴充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<sst xmlns="http://schemas.openxmlformats.org/spreadsheetml/2006/main" count="111" uniqueCount="56">
  <si>
    <t>新機器購買及達成使用狀態成本</t>
  </si>
  <si>
    <t>舊機器的處分所得</t>
  </si>
  <si>
    <t>舊機器帳面價值</t>
  </si>
  <si>
    <t>處分舊機器之帳面損失</t>
  </si>
  <si>
    <t>年度</t>
  </si>
  <si>
    <t>帳面成本</t>
  </si>
  <si>
    <t>折舊因子</t>
  </si>
  <si>
    <t>新折舊費用</t>
  </si>
  <si>
    <t>原折舊費用</t>
  </si>
  <si>
    <t>增量折舊費用</t>
  </si>
  <si>
    <t>增量稅前成本減少</t>
  </si>
  <si>
    <t>增量稅前盈餘</t>
  </si>
  <si>
    <t>抵稅效果</t>
  </si>
  <si>
    <t>營運現金流量</t>
  </si>
  <si>
    <t>期末現金流量</t>
  </si>
  <si>
    <t>淨營運資金的回收</t>
  </si>
  <si>
    <t>初始</t>
  </si>
  <si>
    <t>現金流量</t>
  </si>
  <si>
    <t>折現因子</t>
  </si>
  <si>
    <t>折現值</t>
  </si>
  <si>
    <t>IRR =</t>
  </si>
  <si>
    <t>PI =</t>
  </si>
  <si>
    <t>PP =</t>
  </si>
  <si>
    <t>舊機器原始成本</t>
  </si>
  <si>
    <t>帳面損失抵稅效果</t>
  </si>
  <si>
    <r>
      <t>淨營運資金投入</t>
    </r>
    <r>
      <rPr>
        <sz val="12"/>
        <rFont val="Arial"/>
        <family val="2"/>
      </rPr>
      <t>(</t>
    </r>
    <r>
      <rPr>
        <sz val="12"/>
        <rFont val="新細明體"/>
        <family val="1"/>
      </rPr>
      <t>存貨增加</t>
    </r>
    <r>
      <rPr>
        <sz val="12"/>
        <rFont val="Arial"/>
        <family val="2"/>
      </rPr>
      <t>)</t>
    </r>
  </si>
  <si>
    <t>原始淨投資額</t>
  </si>
  <si>
    <t>增量稅前銷售額</t>
  </si>
  <si>
    <t>增量稅後盈餘</t>
  </si>
  <si>
    <r>
      <t>第</t>
    </r>
    <r>
      <rPr>
        <sz val="12"/>
        <rFont val="Arial"/>
        <family val="2"/>
      </rPr>
      <t>1</t>
    </r>
    <r>
      <rPr>
        <sz val="12"/>
        <rFont val="新細明體"/>
        <family val="1"/>
      </rPr>
      <t>年</t>
    </r>
  </si>
  <si>
    <r>
      <t>第</t>
    </r>
    <r>
      <rPr>
        <sz val="12"/>
        <rFont val="Arial"/>
        <family val="2"/>
      </rPr>
      <t>2</t>
    </r>
    <r>
      <rPr>
        <sz val="12"/>
        <rFont val="新細明體"/>
        <family val="1"/>
      </rPr>
      <t>年</t>
    </r>
  </si>
  <si>
    <r>
      <t>第</t>
    </r>
    <r>
      <rPr>
        <sz val="12"/>
        <rFont val="Arial"/>
        <family val="2"/>
      </rPr>
      <t>3</t>
    </r>
    <r>
      <rPr>
        <sz val="12"/>
        <rFont val="新細明體"/>
        <family val="1"/>
      </rPr>
      <t>年</t>
    </r>
  </si>
  <si>
    <r>
      <t>第</t>
    </r>
    <r>
      <rPr>
        <sz val="12"/>
        <rFont val="Arial"/>
        <family val="2"/>
      </rPr>
      <t>4</t>
    </r>
    <r>
      <rPr>
        <sz val="12"/>
        <rFont val="新細明體"/>
        <family val="1"/>
      </rPr>
      <t>年</t>
    </r>
  </si>
  <si>
    <r>
      <t>第</t>
    </r>
    <r>
      <rPr>
        <sz val="12"/>
        <rFont val="Arial"/>
        <family val="2"/>
      </rPr>
      <t>5</t>
    </r>
    <r>
      <rPr>
        <sz val="12"/>
        <rFont val="新細明體"/>
        <family val="1"/>
      </rPr>
      <t>年</t>
    </r>
  </si>
  <si>
    <r>
      <t>第</t>
    </r>
    <r>
      <rPr>
        <sz val="12"/>
        <rFont val="Arial"/>
        <family val="2"/>
      </rPr>
      <t>5</t>
    </r>
    <r>
      <rPr>
        <sz val="12"/>
        <rFont val="新細明體"/>
        <family val="1"/>
      </rPr>
      <t>年營運現金流量</t>
    </r>
  </si>
  <si>
    <t>處分新機器實收金額</t>
  </si>
  <si>
    <t>WACC =</t>
  </si>
  <si>
    <r>
      <t>淨現值</t>
    </r>
    <r>
      <rPr>
        <sz val="12"/>
        <rFont val="Arial"/>
        <family val="2"/>
      </rPr>
      <t xml:space="preserve"> (NPV)</t>
    </r>
  </si>
  <si>
    <t>PP (Discounted)=</t>
  </si>
  <si>
    <r>
      <t>每年折舊</t>
    </r>
    <r>
      <rPr>
        <sz val="12"/>
        <rFont val="Arial"/>
        <family val="2"/>
      </rPr>
      <t xml:space="preserve"> (</t>
    </r>
    <r>
      <rPr>
        <sz val="12"/>
        <rFont val="新細明體"/>
        <family val="1"/>
      </rPr>
      <t>直線法</t>
    </r>
    <r>
      <rPr>
        <sz val="12"/>
        <rFont val="Arial"/>
        <family val="2"/>
      </rPr>
      <t>)</t>
    </r>
  </si>
  <si>
    <t>2年累積折舊</t>
  </si>
  <si>
    <r>
      <t xml:space="preserve">1. </t>
    </r>
    <r>
      <rPr>
        <sz val="16"/>
        <rFont val="新細明體"/>
        <family val="1"/>
      </rPr>
      <t>原始淨投資額</t>
    </r>
  </si>
  <si>
    <r>
      <t xml:space="preserve">2. </t>
    </r>
    <r>
      <rPr>
        <sz val="16"/>
        <rFont val="新細明體"/>
        <family val="1"/>
      </rPr>
      <t>各期營運現金流量</t>
    </r>
  </si>
  <si>
    <r>
      <t xml:space="preserve">3. </t>
    </r>
    <r>
      <rPr>
        <sz val="16"/>
        <rFont val="新細明體"/>
        <family val="1"/>
      </rPr>
      <t>期末現金流量</t>
    </r>
  </si>
  <si>
    <r>
      <t xml:space="preserve">4. </t>
    </r>
    <r>
      <rPr>
        <sz val="16"/>
        <rFont val="新細明體"/>
        <family val="1"/>
      </rPr>
      <t>分年現金流量與財務評估</t>
    </r>
  </si>
  <si>
    <t>DPP (Discounted)=</t>
  </si>
  <si>
    <t>WACC =</t>
  </si>
  <si>
    <r>
      <t xml:space="preserve">1. </t>
    </r>
    <r>
      <rPr>
        <sz val="14"/>
        <rFont val="新細明體"/>
        <family val="1"/>
      </rPr>
      <t>原始淨投資額</t>
    </r>
  </si>
  <si>
    <r>
      <t xml:space="preserve">2. </t>
    </r>
    <r>
      <rPr>
        <sz val="14"/>
        <rFont val="新細明體"/>
        <family val="1"/>
      </rPr>
      <t>各期營運現金流量</t>
    </r>
  </si>
  <si>
    <r>
      <t xml:space="preserve">3. </t>
    </r>
    <r>
      <rPr>
        <sz val="14"/>
        <rFont val="新細明體"/>
        <family val="1"/>
      </rPr>
      <t>期末現金流量</t>
    </r>
  </si>
  <si>
    <t>抵稅3%</t>
  </si>
  <si>
    <t>增量稅前成本增量</t>
  </si>
  <si>
    <t>機會成本</t>
  </si>
  <si>
    <r>
      <t>PP</t>
    </r>
    <r>
      <rPr>
        <sz val="12"/>
        <rFont val="細明體"/>
        <family val="3"/>
      </rPr>
      <t>累積</t>
    </r>
  </si>
  <si>
    <r>
      <t>DPP</t>
    </r>
    <r>
      <rPr>
        <sz val="12"/>
        <rFont val="細明體"/>
        <family val="3"/>
      </rPr>
      <t>累積</t>
    </r>
  </si>
  <si>
    <t>&gt;5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</si>
</sst>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00"/>
    <numFmt numFmtId="180" formatCode="0.0000000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_-* #,##0.0000_-;\-* #,##0.0000_-;_-* &quot;-&quot;????_-;_-@_-"/>
    <numFmt numFmtId="187" formatCode="_-* #,##0.000_-;\-* #,##0.000_-;_-* &quot;-&quot;??_-;_-@_-"/>
    <numFmt numFmtId="188" formatCode="_-* #,##0.0000_-;\-* #,##0.0000_-;_-* &quot;-&quot;??_-;_-@_-"/>
    <numFmt numFmtId="189" formatCode="0.0%"/>
    <numFmt numFmtId="190" formatCode="0.000%"/>
    <numFmt numFmtId="191" formatCode="0.00000000_ "/>
    <numFmt numFmtId="192" formatCode="0.0000000_ "/>
  </numFmts>
  <fonts count="11">
    <font>
      <sz val="12"/>
      <name val="新細明體"/>
      <family val="1"/>
    </font>
    <font>
      <sz val="9"/>
      <name val="新細明體"/>
      <family val="1"/>
    </font>
    <font>
      <sz val="12"/>
      <name val="Arial Unicode MS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6"/>
      <name val="新細明體"/>
      <family val="1"/>
    </font>
    <font>
      <b/>
      <sz val="12"/>
      <color indexed="17"/>
      <name val="Arial"/>
      <family val="2"/>
    </font>
    <font>
      <sz val="14"/>
      <name val="Arial"/>
      <family val="2"/>
    </font>
    <font>
      <sz val="14"/>
      <name val="新細明體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7" fontId="2" fillId="0" borderId="1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7" fontId="3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177" fontId="3" fillId="0" borderId="2" xfId="15" applyNumberFormat="1" applyFont="1" applyBorder="1" applyAlignment="1">
      <alignment/>
    </xf>
    <xf numFmtId="177" fontId="4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177" fontId="3" fillId="0" borderId="0" xfId="15" applyNumberFormat="1" applyFont="1" applyAlignment="1">
      <alignment horizontal="center"/>
    </xf>
    <xf numFmtId="177" fontId="3" fillId="0" borderId="1" xfId="15" applyNumberFormat="1" applyFont="1" applyBorder="1" applyAlignment="1">
      <alignment/>
    </xf>
    <xf numFmtId="177" fontId="4" fillId="0" borderId="1" xfId="15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180" fontId="3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center"/>
    </xf>
    <xf numFmtId="177" fontId="4" fillId="0" borderId="1" xfId="0" applyNumberFormat="1" applyFont="1" applyBorder="1" applyAlignment="1">
      <alignment/>
    </xf>
    <xf numFmtId="183" fontId="3" fillId="0" borderId="1" xfId="0" applyNumberFormat="1" applyFont="1" applyBorder="1" applyAlignment="1">
      <alignment horizontal="center"/>
    </xf>
    <xf numFmtId="177" fontId="3" fillId="0" borderId="1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center"/>
    </xf>
    <xf numFmtId="177" fontId="4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4" fillId="0" borderId="0" xfId="15" applyNumberFormat="1" applyFont="1" applyAlignment="1">
      <alignment/>
    </xf>
    <xf numFmtId="183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0" fontId="4" fillId="0" borderId="0" xfId="17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77" fontId="3" fillId="2" borderId="1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ont="1" applyFill="1" applyBorder="1" applyAlignment="1">
      <alignment horizontal="center"/>
    </xf>
    <xf numFmtId="177" fontId="4" fillId="3" borderId="1" xfId="15" applyNumberFormat="1" applyFont="1" applyFill="1" applyBorder="1" applyAlignment="1">
      <alignment/>
    </xf>
    <xf numFmtId="43" fontId="4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="120" zoomScaleNormal="120" workbookViewId="0" topLeftCell="A43">
      <selection activeCell="D49" sqref="D49"/>
    </sheetView>
  </sheetViews>
  <sheetFormatPr defaultColWidth="9.00390625" defaultRowHeight="16.5"/>
  <cols>
    <col min="1" max="1" width="9.00390625" style="3" customWidth="1"/>
    <col min="2" max="2" width="17.125" style="3" customWidth="1"/>
    <col min="3" max="3" width="16.875" style="3" customWidth="1"/>
    <col min="4" max="4" width="13.75390625" style="4" customWidth="1"/>
    <col min="5" max="5" width="13.75390625" style="3" bestFit="1" customWidth="1"/>
    <col min="6" max="6" width="13.125" style="3" customWidth="1"/>
    <col min="7" max="7" width="11.50390625" style="3" customWidth="1"/>
    <col min="8" max="8" width="12.375" style="3" customWidth="1"/>
    <col min="9" max="9" width="12.125" style="4" bestFit="1" customWidth="1"/>
  </cols>
  <sheetData>
    <row r="1" ht="21">
      <c r="A1" s="29" t="s">
        <v>41</v>
      </c>
    </row>
    <row r="3" spans="1:9" ht="16.5">
      <c r="A3" s="5" t="s">
        <v>0</v>
      </c>
      <c r="D3" s="4">
        <v>-2250000</v>
      </c>
      <c r="F3" s="5" t="s">
        <v>1</v>
      </c>
      <c r="I3" s="4">
        <v>500000</v>
      </c>
    </row>
    <row r="4" spans="1:9" ht="16.5">
      <c r="A4" s="5" t="s">
        <v>1</v>
      </c>
      <c r="D4" s="4">
        <v>500000</v>
      </c>
      <c r="F4" s="5" t="s">
        <v>23</v>
      </c>
      <c r="I4" s="4">
        <v>2100000</v>
      </c>
    </row>
    <row r="5" spans="1:9" ht="16.5">
      <c r="A5" s="5" t="s">
        <v>24</v>
      </c>
      <c r="D5" s="4">
        <f>-I8*0.25</f>
        <v>250000</v>
      </c>
      <c r="F5" t="s">
        <v>39</v>
      </c>
      <c r="I5" s="4">
        <f>I4/7</f>
        <v>300000</v>
      </c>
    </row>
    <row r="6" spans="1:9" ht="17.25" thickBot="1">
      <c r="A6" s="6" t="s">
        <v>25</v>
      </c>
      <c r="B6" s="7"/>
      <c r="C6" s="7"/>
      <c r="D6" s="8">
        <v>-150000</v>
      </c>
      <c r="F6" t="s">
        <v>40</v>
      </c>
      <c r="I6" s="4">
        <f>I5*2</f>
        <v>600000</v>
      </c>
    </row>
    <row r="7" spans="1:9" ht="16.5">
      <c r="A7" s="5" t="s">
        <v>26</v>
      </c>
      <c r="D7" s="9">
        <f>SUM(D3:D6)</f>
        <v>-1650000</v>
      </c>
      <c r="F7" s="5" t="s">
        <v>2</v>
      </c>
      <c r="I7" s="4">
        <f>I4-I6</f>
        <v>1500000</v>
      </c>
    </row>
    <row r="8" spans="6:9" ht="16.5">
      <c r="F8" s="5" t="s">
        <v>3</v>
      </c>
      <c r="I8" s="4">
        <f>I3-I7</f>
        <v>-1000000</v>
      </c>
    </row>
    <row r="11" ht="21">
      <c r="A11" s="29" t="s">
        <v>42</v>
      </c>
    </row>
    <row r="13" spans="1:6" ht="17.25">
      <c r="A13" s="10" t="s">
        <v>4</v>
      </c>
      <c r="B13" s="10" t="s">
        <v>5</v>
      </c>
      <c r="C13" s="10" t="s">
        <v>6</v>
      </c>
      <c r="D13" s="1" t="s">
        <v>7</v>
      </c>
      <c r="E13" s="10" t="s">
        <v>8</v>
      </c>
      <c r="F13" s="10" t="s">
        <v>9</v>
      </c>
    </row>
    <row r="14" spans="1:6" ht="16.5">
      <c r="A14" s="10" t="s">
        <v>29</v>
      </c>
      <c r="B14" s="14">
        <f>-$D$3</f>
        <v>2250000</v>
      </c>
      <c r="C14" s="15">
        <f>5/15</f>
        <v>0.3333333333333333</v>
      </c>
      <c r="D14" s="12">
        <f>B14*C14</f>
        <v>750000</v>
      </c>
      <c r="E14" s="12">
        <f>$I$5</f>
        <v>300000</v>
      </c>
      <c r="F14" s="14">
        <f>D14-E14</f>
        <v>450000</v>
      </c>
    </row>
    <row r="15" spans="1:6" ht="16.5">
      <c r="A15" s="10" t="s">
        <v>30</v>
      </c>
      <c r="B15" s="14">
        <f>-$D$3</f>
        <v>2250000</v>
      </c>
      <c r="C15" s="15">
        <f>4/15</f>
        <v>0.26666666666666666</v>
      </c>
      <c r="D15" s="12">
        <f>B15*C15</f>
        <v>600000</v>
      </c>
      <c r="E15" s="12">
        <f>$I$5</f>
        <v>300000</v>
      </c>
      <c r="F15" s="14">
        <f>D15-E15</f>
        <v>300000</v>
      </c>
    </row>
    <row r="16" spans="1:6" ht="16.5">
      <c r="A16" s="10" t="s">
        <v>31</v>
      </c>
      <c r="B16" s="14">
        <f>-$D$3</f>
        <v>2250000</v>
      </c>
      <c r="C16" s="15">
        <f>3/15</f>
        <v>0.2</v>
      </c>
      <c r="D16" s="12">
        <f>B16*C16</f>
        <v>450000</v>
      </c>
      <c r="E16" s="12">
        <f>$I$5</f>
        <v>300000</v>
      </c>
      <c r="F16" s="14">
        <f>D16-E16</f>
        <v>150000</v>
      </c>
    </row>
    <row r="17" spans="1:6" ht="16.5">
      <c r="A17" s="10" t="s">
        <v>32</v>
      </c>
      <c r="B17" s="14">
        <f>-$D$3</f>
        <v>2250000</v>
      </c>
      <c r="C17" s="15">
        <f>2/15</f>
        <v>0.13333333333333333</v>
      </c>
      <c r="D17" s="12">
        <f>B17*C17</f>
        <v>300000</v>
      </c>
      <c r="E17" s="12">
        <f>$I$5</f>
        <v>300000</v>
      </c>
      <c r="F17" s="14">
        <f>D17-E17</f>
        <v>0</v>
      </c>
    </row>
    <row r="18" spans="1:6" ht="16.5">
      <c r="A18" s="10" t="s">
        <v>33</v>
      </c>
      <c r="B18" s="14">
        <f>-$D$3</f>
        <v>2250000</v>
      </c>
      <c r="C18" s="15">
        <f>1/15</f>
        <v>0.06666666666666667</v>
      </c>
      <c r="D18" s="12">
        <f>B18*C18</f>
        <v>150000</v>
      </c>
      <c r="E18" s="12">
        <f>$I$5</f>
        <v>300000</v>
      </c>
      <c r="F18" s="14">
        <f>D18-E18</f>
        <v>-150000</v>
      </c>
    </row>
    <row r="20" spans="1:9" s="2" customFormat="1" ht="16.5">
      <c r="A20" s="10" t="s">
        <v>4</v>
      </c>
      <c r="B20" s="10" t="s">
        <v>10</v>
      </c>
      <c r="C20" s="10" t="s">
        <v>28</v>
      </c>
      <c r="D20" s="10" t="s">
        <v>9</v>
      </c>
      <c r="E20" s="10" t="s">
        <v>12</v>
      </c>
      <c r="F20" s="10" t="s">
        <v>13</v>
      </c>
      <c r="I20" s="11"/>
    </row>
    <row r="21" spans="1:6" ht="16.5">
      <c r="A21" s="10" t="s">
        <v>29</v>
      </c>
      <c r="B21" s="12">
        <v>500000</v>
      </c>
      <c r="C21" s="12">
        <f>B21*0.75</f>
        <v>375000</v>
      </c>
      <c r="D21" s="12">
        <f>F14</f>
        <v>450000</v>
      </c>
      <c r="E21" s="12">
        <f>D21*0.25</f>
        <v>112500</v>
      </c>
      <c r="F21" s="13">
        <f>C21+E21</f>
        <v>487500</v>
      </c>
    </row>
    <row r="22" spans="1:6" ht="16.5">
      <c r="A22" s="10" t="s">
        <v>30</v>
      </c>
      <c r="B22" s="12">
        <v>500000</v>
      </c>
      <c r="C22" s="12">
        <f>B22*0.75</f>
        <v>375000</v>
      </c>
      <c r="D22" s="12">
        <f>F15</f>
        <v>300000</v>
      </c>
      <c r="E22" s="12">
        <f>D22*0.25</f>
        <v>75000</v>
      </c>
      <c r="F22" s="13">
        <f>C22+E22</f>
        <v>450000</v>
      </c>
    </row>
    <row r="23" spans="1:6" ht="16.5">
      <c r="A23" s="10" t="s">
        <v>31</v>
      </c>
      <c r="B23" s="12">
        <v>500000</v>
      </c>
      <c r="C23" s="12">
        <f>B23*0.75</f>
        <v>375000</v>
      </c>
      <c r="D23" s="12">
        <f>F16</f>
        <v>150000</v>
      </c>
      <c r="E23" s="12">
        <f>D23*0.25</f>
        <v>37500</v>
      </c>
      <c r="F23" s="13">
        <f>C23+E23</f>
        <v>412500</v>
      </c>
    </row>
    <row r="24" spans="1:6" ht="16.5">
      <c r="A24" s="10" t="s">
        <v>32</v>
      </c>
      <c r="B24" s="12">
        <v>500000</v>
      </c>
      <c r="C24" s="12">
        <f>B24*0.75</f>
        <v>375000</v>
      </c>
      <c r="D24" s="12">
        <f>F17</f>
        <v>0</v>
      </c>
      <c r="E24" s="12">
        <f>D24*0.25</f>
        <v>0</v>
      </c>
      <c r="F24" s="13">
        <f>C24+E24</f>
        <v>375000</v>
      </c>
    </row>
    <row r="25" spans="1:6" ht="16.5">
      <c r="A25" s="10" t="s">
        <v>33</v>
      </c>
      <c r="B25" s="12">
        <v>500000</v>
      </c>
      <c r="C25" s="12">
        <f>B25*0.75</f>
        <v>375000</v>
      </c>
      <c r="D25" s="12">
        <f>F18</f>
        <v>-150000</v>
      </c>
      <c r="E25" s="12">
        <f>D25*0.25</f>
        <v>-37500</v>
      </c>
      <c r="F25" s="13">
        <f>C25+E25</f>
        <v>337500</v>
      </c>
    </row>
    <row r="28" ht="21">
      <c r="A28" s="30" t="s">
        <v>43</v>
      </c>
    </row>
    <row r="30" spans="1:3" ht="16.5">
      <c r="A30" s="5" t="s">
        <v>34</v>
      </c>
      <c r="C30" s="4">
        <f>F25</f>
        <v>337500</v>
      </c>
    </row>
    <row r="31" spans="1:3" ht="16.5">
      <c r="A31" s="5" t="s">
        <v>35</v>
      </c>
      <c r="C31" s="4">
        <f>450000*0.75</f>
        <v>337500</v>
      </c>
    </row>
    <row r="32" spans="1:3" ht="17.25" thickBot="1">
      <c r="A32" s="6" t="s">
        <v>15</v>
      </c>
      <c r="B32" s="7"/>
      <c r="C32" s="8">
        <f>-D6</f>
        <v>150000</v>
      </c>
    </row>
    <row r="33" spans="1:3" ht="16.5">
      <c r="A33" s="5" t="s">
        <v>14</v>
      </c>
      <c r="C33" s="9">
        <f>SUM(C30:C32)</f>
        <v>825000</v>
      </c>
    </row>
    <row r="34" spans="1:3" ht="16.5">
      <c r="A34" s="5"/>
      <c r="C34" s="9"/>
    </row>
    <row r="35" ht="16.5">
      <c r="C35" s="9"/>
    </row>
    <row r="36" ht="21">
      <c r="A36" s="30" t="s">
        <v>44</v>
      </c>
    </row>
    <row r="37" ht="20.25">
      <c r="A37" s="30"/>
    </row>
    <row r="38" spans="2:3" ht="16.5">
      <c r="B38" s="32" t="s">
        <v>46</v>
      </c>
      <c r="C38" s="31">
        <v>0.1225</v>
      </c>
    </row>
    <row r="39" spans="1:4" ht="17.25">
      <c r="A39" s="10" t="s">
        <v>4</v>
      </c>
      <c r="B39" s="10" t="s">
        <v>17</v>
      </c>
      <c r="C39" s="10" t="s">
        <v>18</v>
      </c>
      <c r="D39" s="1" t="s">
        <v>19</v>
      </c>
    </row>
    <row r="40" spans="1:6" ht="16.5">
      <c r="A40" s="10" t="s">
        <v>16</v>
      </c>
      <c r="B40" s="18">
        <f>D7</f>
        <v>-1650000</v>
      </c>
      <c r="C40" s="19">
        <v>1</v>
      </c>
      <c r="D40" s="20">
        <f aca="true" t="shared" si="0" ref="D40:D45">B40*C40</f>
        <v>-1650000</v>
      </c>
      <c r="E40" s="28">
        <f>B40</f>
        <v>-1650000</v>
      </c>
      <c r="F40" s="28">
        <f>E40</f>
        <v>-1650000</v>
      </c>
    </row>
    <row r="41" spans="1:6" ht="16.5">
      <c r="A41" s="10" t="s">
        <v>29</v>
      </c>
      <c r="B41" s="18">
        <f>F21</f>
        <v>487500</v>
      </c>
      <c r="C41" s="19">
        <f>1/POWER((1+$C$38),1)</f>
        <v>0.8908685968819599</v>
      </c>
      <c r="D41" s="20">
        <f t="shared" si="0"/>
        <v>434298.4409799554</v>
      </c>
      <c r="E41" s="28">
        <f>E40+B41</f>
        <v>-1162500</v>
      </c>
      <c r="F41" s="28">
        <f>F40+D41</f>
        <v>-1215701.5590200445</v>
      </c>
    </row>
    <row r="42" spans="1:6" ht="16.5">
      <c r="A42" s="10" t="s">
        <v>30</v>
      </c>
      <c r="B42" s="18">
        <f>F22</f>
        <v>450000</v>
      </c>
      <c r="C42" s="19">
        <f>1/POWER((1+$C$38),2)</f>
        <v>0.7936468569104319</v>
      </c>
      <c r="D42" s="20">
        <f t="shared" si="0"/>
        <v>357141.08560969436</v>
      </c>
      <c r="E42" s="28">
        <f>E41+B42</f>
        <v>-712500</v>
      </c>
      <c r="F42" s="28">
        <f>F41+D42</f>
        <v>-858560.4734103502</v>
      </c>
    </row>
    <row r="43" spans="1:6" ht="16.5">
      <c r="A43" s="10" t="s">
        <v>31</v>
      </c>
      <c r="B43" s="18">
        <f>F23</f>
        <v>412500</v>
      </c>
      <c r="C43" s="19">
        <f>1/POWER((1+$C$38),3)</f>
        <v>0.7070350618355741</v>
      </c>
      <c r="D43" s="20">
        <f t="shared" si="0"/>
        <v>291651.9630071743</v>
      </c>
      <c r="E43" s="28">
        <f>E42+B43</f>
        <v>-300000</v>
      </c>
      <c r="F43" s="28">
        <f>F42+D43</f>
        <v>-566908.5104031758</v>
      </c>
    </row>
    <row r="44" spans="1:6" ht="16.5">
      <c r="A44" s="10" t="s">
        <v>32</v>
      </c>
      <c r="B44" s="18">
        <f>F24</f>
        <v>375000</v>
      </c>
      <c r="C44" s="19">
        <f>1/POWER((1+$C$38),4)</f>
        <v>0.6298753334838075</v>
      </c>
      <c r="D44" s="20">
        <f t="shared" si="0"/>
        <v>236203.25005642782</v>
      </c>
      <c r="E44" s="28">
        <f>E43+B44</f>
        <v>75000</v>
      </c>
      <c r="F44" s="28">
        <f>F43+D44</f>
        <v>-330705.26034674805</v>
      </c>
    </row>
    <row r="45" spans="1:6" ht="16.5">
      <c r="A45" s="10" t="s">
        <v>33</v>
      </c>
      <c r="B45" s="18">
        <f>C33</f>
        <v>825000</v>
      </c>
      <c r="C45" s="19">
        <f>1/POWER((1+$C$38),5)</f>
        <v>0.5611361545512761</v>
      </c>
      <c r="D45" s="20">
        <f t="shared" si="0"/>
        <v>462937.3275048028</v>
      </c>
      <c r="E45" s="28">
        <f>E44+B45</f>
        <v>900000</v>
      </c>
      <c r="F45" s="28">
        <f>F44+D45</f>
        <v>132232.06715805474</v>
      </c>
    </row>
    <row r="46" spans="1:4" ht="16.5">
      <c r="A46" s="21"/>
      <c r="B46" s="22"/>
      <c r="C46" s="23" t="s">
        <v>37</v>
      </c>
      <c r="D46" s="24">
        <f>SUM(D40:D45)</f>
        <v>132232.06715805474</v>
      </c>
    </row>
    <row r="47" spans="3:4" ht="16.5">
      <c r="C47" s="25" t="s">
        <v>20</v>
      </c>
      <c r="D47" s="33">
        <v>0.1524</v>
      </c>
    </row>
    <row r="48" spans="3:4" ht="16.5">
      <c r="C48" s="25" t="s">
        <v>21</v>
      </c>
      <c r="D48" s="26">
        <f>SUM(D41:D45)/-D40</f>
        <v>1.0801406467624575</v>
      </c>
    </row>
    <row r="49" spans="3:5" ht="16.5">
      <c r="C49" s="27" t="s">
        <v>22</v>
      </c>
      <c r="D49" s="26">
        <f>3+(-E43/B44)</f>
        <v>3.8</v>
      </c>
      <c r="E49" s="28"/>
    </row>
    <row r="50" spans="3:5" ht="16.5">
      <c r="C50" s="27" t="s">
        <v>45</v>
      </c>
      <c r="D50" s="26">
        <f>4+(-F44/D45)</f>
        <v>4.714362918473705</v>
      </c>
      <c r="E50" s="28">
        <f>-D40-D41-D42-D43-D44</f>
        <v>330705.26034674805</v>
      </c>
    </row>
  </sheetData>
  <printOptions/>
  <pageMargins left="0.75" right="0.75" top="1" bottom="1" header="0.5" footer="0.5"/>
  <pageSetup horizontalDpi="360" verticalDpi="36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30" zoomScaleNormal="130" workbookViewId="0" topLeftCell="A1">
      <selection activeCell="C38" sqref="C38"/>
    </sheetView>
  </sheetViews>
  <sheetFormatPr defaultColWidth="9.00390625" defaultRowHeight="16.5"/>
  <cols>
    <col min="1" max="1" width="9.00390625" style="3" customWidth="1"/>
    <col min="2" max="2" width="14.875" style="3" customWidth="1"/>
    <col min="3" max="3" width="16.875" style="3" customWidth="1"/>
    <col min="4" max="4" width="17.50390625" style="4" customWidth="1"/>
    <col min="5" max="5" width="13.875" style="3" bestFit="1" customWidth="1"/>
    <col min="6" max="6" width="13.125" style="3" customWidth="1"/>
    <col min="7" max="7" width="15.875" style="3" customWidth="1"/>
    <col min="8" max="8" width="16.75390625" style="3" customWidth="1"/>
    <col min="9" max="9" width="15.875" style="4" customWidth="1"/>
  </cols>
  <sheetData>
    <row r="1" ht="19.5">
      <c r="A1" s="34" t="s">
        <v>47</v>
      </c>
    </row>
    <row r="3" spans="1:6" ht="16.5">
      <c r="A3" s="5" t="s">
        <v>0</v>
      </c>
      <c r="D3" s="4">
        <f>-(48000000+2000000)</f>
        <v>-50000000</v>
      </c>
      <c r="F3" s="5"/>
    </row>
    <row r="4" spans="1:6" ht="16.5">
      <c r="A4" t="s">
        <v>50</v>
      </c>
      <c r="D4" s="4">
        <f>-D3*0.03</f>
        <v>1500000</v>
      </c>
      <c r="F4" s="5"/>
    </row>
    <row r="5" spans="1:6" ht="17.25" thickBot="1">
      <c r="A5" s="6" t="s">
        <v>25</v>
      </c>
      <c r="B5" s="7"/>
      <c r="C5" s="7"/>
      <c r="D5" s="8">
        <f>-10000000*0.4</f>
        <v>-4000000</v>
      </c>
      <c r="F5" s="5"/>
    </row>
    <row r="6" spans="1:6" ht="16.5">
      <c r="A6" s="5" t="s">
        <v>26</v>
      </c>
      <c r="D6" s="9">
        <f>SUM(D3:D5)</f>
        <v>-52500000</v>
      </c>
      <c r="F6" s="5"/>
    </row>
    <row r="7" ht="16.5">
      <c r="F7" s="5"/>
    </row>
    <row r="10" ht="19.5">
      <c r="A10" s="34" t="s">
        <v>48</v>
      </c>
    </row>
    <row r="11" ht="16.5">
      <c r="L11" s="39"/>
    </row>
    <row r="12" spans="1:8" s="2" customFormat="1" ht="17.25">
      <c r="A12" s="10" t="s">
        <v>4</v>
      </c>
      <c r="B12" s="10" t="s">
        <v>27</v>
      </c>
      <c r="C12" s="36" t="s">
        <v>51</v>
      </c>
      <c r="D12" s="1" t="s">
        <v>52</v>
      </c>
      <c r="E12" s="1" t="s">
        <v>11</v>
      </c>
      <c r="F12" s="37" t="s">
        <v>28</v>
      </c>
      <c r="G12" s="37" t="s">
        <v>12</v>
      </c>
      <c r="H12" s="40" t="s">
        <v>13</v>
      </c>
    </row>
    <row r="13" spans="1:8" ht="16.5">
      <c r="A13" s="10" t="s">
        <v>29</v>
      </c>
      <c r="B13" s="12">
        <v>12000000</v>
      </c>
      <c r="C13" s="12">
        <v>4000000</v>
      </c>
      <c r="D13" s="12">
        <v>1200000</v>
      </c>
      <c r="E13" s="12">
        <f>B13-C13-D13</f>
        <v>6800000</v>
      </c>
      <c r="F13" s="38">
        <f>E13*0.75</f>
        <v>5100000</v>
      </c>
      <c r="G13" s="38">
        <f>E21</f>
        <v>4166666.6666666665</v>
      </c>
      <c r="H13" s="41">
        <f>F13+G13</f>
        <v>9266666.666666666</v>
      </c>
    </row>
    <row r="14" spans="1:8" ht="16.5">
      <c r="A14" s="10" t="s">
        <v>30</v>
      </c>
      <c r="B14" s="12">
        <v>18000000</v>
      </c>
      <c r="C14" s="12">
        <v>4500000</v>
      </c>
      <c r="D14" s="12">
        <v>1500000</v>
      </c>
      <c r="E14" s="12">
        <f>B14-C14-D14</f>
        <v>12000000</v>
      </c>
      <c r="F14" s="38">
        <f>E14*0.75</f>
        <v>9000000</v>
      </c>
      <c r="G14" s="38">
        <f>E22</f>
        <v>3333333.3333333335</v>
      </c>
      <c r="H14" s="41">
        <f>F14+G14</f>
        <v>12333333.333333334</v>
      </c>
    </row>
    <row r="15" spans="1:8" ht="16.5">
      <c r="A15" s="10" t="s">
        <v>31</v>
      </c>
      <c r="B15" s="12">
        <v>25000000</v>
      </c>
      <c r="C15" s="12">
        <v>5500000</v>
      </c>
      <c r="D15" s="12">
        <v>1500000</v>
      </c>
      <c r="E15" s="12">
        <f>B15-C15-D15</f>
        <v>18000000</v>
      </c>
      <c r="F15" s="38">
        <f>E15*0.75</f>
        <v>13500000</v>
      </c>
      <c r="G15" s="38">
        <f>E23</f>
        <v>2500000</v>
      </c>
      <c r="H15" s="41">
        <f>F15+G15</f>
        <v>16000000</v>
      </c>
    </row>
    <row r="16" spans="1:8" ht="16.5">
      <c r="A16" s="10" t="s">
        <v>32</v>
      </c>
      <c r="B16" s="12">
        <v>17000000</v>
      </c>
      <c r="C16" s="12">
        <v>5200000</v>
      </c>
      <c r="D16" s="12">
        <v>1500000</v>
      </c>
      <c r="E16" s="12">
        <f>B16-C16-D16</f>
        <v>10300000</v>
      </c>
      <c r="F16" s="38">
        <f>E16*0.75</f>
        <v>7725000</v>
      </c>
      <c r="G16" s="38">
        <f>E24</f>
        <v>1666666.6666666667</v>
      </c>
      <c r="H16" s="41">
        <f>F16+G16</f>
        <v>9391666.666666666</v>
      </c>
    </row>
    <row r="17" spans="1:8" ht="16.5">
      <c r="A17" s="10" t="s">
        <v>33</v>
      </c>
      <c r="B17" s="12">
        <v>15000000</v>
      </c>
      <c r="C17" s="12">
        <v>5000000</v>
      </c>
      <c r="D17" s="12">
        <v>1500000</v>
      </c>
      <c r="E17" s="12">
        <f>B17-C17-D17</f>
        <v>8500000</v>
      </c>
      <c r="F17" s="38">
        <f>E17*0.75</f>
        <v>6375000</v>
      </c>
      <c r="G17" s="38">
        <f>E25</f>
        <v>833333.3333333334</v>
      </c>
      <c r="H17" s="41">
        <f>F17+G17</f>
        <v>7208333.333333333</v>
      </c>
    </row>
    <row r="20" spans="1:5" ht="17.25">
      <c r="A20" s="10" t="s">
        <v>4</v>
      </c>
      <c r="B20" s="10" t="s">
        <v>5</v>
      </c>
      <c r="C20" s="10" t="s">
        <v>6</v>
      </c>
      <c r="D20" s="1" t="s">
        <v>7</v>
      </c>
      <c r="E20" s="36" t="s">
        <v>12</v>
      </c>
    </row>
    <row r="21" spans="1:5" ht="16.5">
      <c r="A21" s="10" t="s">
        <v>29</v>
      </c>
      <c r="B21" s="14">
        <f>-$D$3</f>
        <v>50000000</v>
      </c>
      <c r="C21" s="15">
        <f>5/15</f>
        <v>0.3333333333333333</v>
      </c>
      <c r="D21" s="12">
        <f>B21*C21</f>
        <v>16666666.666666666</v>
      </c>
      <c r="E21" s="14">
        <f>D21*0.25</f>
        <v>4166666.6666666665</v>
      </c>
    </row>
    <row r="22" spans="1:5" ht="16.5">
      <c r="A22" s="10" t="s">
        <v>30</v>
      </c>
      <c r="B22" s="14">
        <f>-$D$3</f>
        <v>50000000</v>
      </c>
      <c r="C22" s="15">
        <f>4/15</f>
        <v>0.26666666666666666</v>
      </c>
      <c r="D22" s="12">
        <f>B22*C22</f>
        <v>13333333.333333334</v>
      </c>
      <c r="E22" s="14">
        <f>D22*0.25</f>
        <v>3333333.3333333335</v>
      </c>
    </row>
    <row r="23" spans="1:5" ht="16.5">
      <c r="A23" s="10" t="s">
        <v>31</v>
      </c>
      <c r="B23" s="14">
        <f>-$D$3</f>
        <v>50000000</v>
      </c>
      <c r="C23" s="15">
        <f>3/15</f>
        <v>0.2</v>
      </c>
      <c r="D23" s="12">
        <f>B23*C23</f>
        <v>10000000</v>
      </c>
      <c r="E23" s="14">
        <f>D23*0.25</f>
        <v>2500000</v>
      </c>
    </row>
    <row r="24" spans="1:5" ht="16.5">
      <c r="A24" s="10" t="s">
        <v>32</v>
      </c>
      <c r="B24" s="14">
        <f>-$D$3</f>
        <v>50000000</v>
      </c>
      <c r="C24" s="15">
        <f>2/15</f>
        <v>0.13333333333333333</v>
      </c>
      <c r="D24" s="12">
        <f>B24*C24</f>
        <v>6666666.666666667</v>
      </c>
      <c r="E24" s="14">
        <f>D24*0.25</f>
        <v>1666666.6666666667</v>
      </c>
    </row>
    <row r="25" spans="1:5" ht="16.5">
      <c r="A25" s="10" t="s">
        <v>33</v>
      </c>
      <c r="B25" s="14">
        <f>-$D$3</f>
        <v>50000000</v>
      </c>
      <c r="C25" s="15">
        <f>1/15</f>
        <v>0.06666666666666667</v>
      </c>
      <c r="D25" s="12">
        <f>B25*C25</f>
        <v>3333333.3333333335</v>
      </c>
      <c r="E25" s="14">
        <f>D25*0.25</f>
        <v>833333.3333333334</v>
      </c>
    </row>
    <row r="28" ht="19.5">
      <c r="A28" s="35" t="s">
        <v>49</v>
      </c>
    </row>
    <row r="30" spans="1:3" ht="16.5">
      <c r="A30" s="5" t="s">
        <v>34</v>
      </c>
      <c r="C30" s="4">
        <f>H17</f>
        <v>7208333.333333333</v>
      </c>
    </row>
    <row r="31" spans="1:3" ht="16.5">
      <c r="A31" s="5" t="s">
        <v>35</v>
      </c>
      <c r="C31" s="4">
        <f>5000000*0.75</f>
        <v>3750000</v>
      </c>
    </row>
    <row r="32" spans="1:3" ht="17.25" thickBot="1">
      <c r="A32" s="6" t="s">
        <v>15</v>
      </c>
      <c r="B32" s="7"/>
      <c r="C32" s="8">
        <f>-D5</f>
        <v>4000000</v>
      </c>
    </row>
    <row r="33" spans="1:3" ht="16.5">
      <c r="A33" s="5" t="s">
        <v>14</v>
      </c>
      <c r="C33" s="9">
        <f>SUM(C30:C32)</f>
        <v>14958333.333333332</v>
      </c>
    </row>
    <row r="34" ht="16.5">
      <c r="C34" s="9"/>
    </row>
    <row r="35" ht="16.5">
      <c r="C35" s="9"/>
    </row>
    <row r="36" spans="1:3" ht="21">
      <c r="A36" s="30" t="s">
        <v>44</v>
      </c>
      <c r="C36" s="9"/>
    </row>
    <row r="38" spans="2:3" ht="16.5">
      <c r="B38" s="16" t="s">
        <v>36</v>
      </c>
      <c r="C38" s="17">
        <v>0.1225</v>
      </c>
    </row>
    <row r="39" spans="1:6" ht="17.25">
      <c r="A39" s="10" t="s">
        <v>4</v>
      </c>
      <c r="B39" s="10" t="s">
        <v>17</v>
      </c>
      <c r="C39" s="10" t="s">
        <v>18</v>
      </c>
      <c r="D39" s="1" t="s">
        <v>19</v>
      </c>
      <c r="E39" s="3" t="s">
        <v>53</v>
      </c>
      <c r="F39" s="3" t="s">
        <v>54</v>
      </c>
    </row>
    <row r="40" spans="1:6" ht="16.5">
      <c r="A40" s="10" t="s">
        <v>16</v>
      </c>
      <c r="B40" s="18">
        <f>D6</f>
        <v>-52500000</v>
      </c>
      <c r="C40" s="19">
        <v>1</v>
      </c>
      <c r="D40" s="20">
        <f aca="true" t="shared" si="0" ref="D40:D45">B40*C40</f>
        <v>-52500000</v>
      </c>
      <c r="E40" s="28">
        <f>B40</f>
        <v>-52500000</v>
      </c>
      <c r="F40" s="28">
        <f>D40</f>
        <v>-52500000</v>
      </c>
    </row>
    <row r="41" spans="1:6" ht="16.5">
      <c r="A41" s="10" t="s">
        <v>29</v>
      </c>
      <c r="B41" s="18">
        <f>H13</f>
        <v>9266666.666666666</v>
      </c>
      <c r="C41" s="19">
        <f>1/POWER((1+$C$38),1)</f>
        <v>0.8908685968819599</v>
      </c>
      <c r="D41" s="20">
        <f t="shared" si="0"/>
        <v>8255382.331106161</v>
      </c>
      <c r="E41" s="28">
        <f>E40+B41</f>
        <v>-43233333.333333336</v>
      </c>
      <c r="F41" s="28">
        <f>F40+D41</f>
        <v>-44244617.66889384</v>
      </c>
    </row>
    <row r="42" spans="1:6" ht="16.5">
      <c r="A42" s="10" t="s">
        <v>30</v>
      </c>
      <c r="B42" s="18">
        <f>H14</f>
        <v>12333333.333333334</v>
      </c>
      <c r="C42" s="19">
        <f>1/POWER((1+$C$38),2)</f>
        <v>0.7936468569104319</v>
      </c>
      <c r="D42" s="20">
        <f t="shared" si="0"/>
        <v>9788311.235228661</v>
      </c>
      <c r="E42" s="28">
        <f>E41+B42</f>
        <v>-30900000</v>
      </c>
      <c r="F42" s="28">
        <f>F41+D42</f>
        <v>-34456306.43366517</v>
      </c>
    </row>
    <row r="43" spans="1:6" ht="16.5">
      <c r="A43" s="10" t="s">
        <v>31</v>
      </c>
      <c r="B43" s="18">
        <f>H15</f>
        <v>16000000</v>
      </c>
      <c r="C43" s="19">
        <f>1/POWER((1+$C$38),3)</f>
        <v>0.7070350618355741</v>
      </c>
      <c r="D43" s="20">
        <f t="shared" si="0"/>
        <v>11312560.989369186</v>
      </c>
      <c r="E43" s="28">
        <f>E42+B43</f>
        <v>-14900000</v>
      </c>
      <c r="F43" s="28">
        <f>F42+D43</f>
        <v>-23143745.444295987</v>
      </c>
    </row>
    <row r="44" spans="1:6" ht="16.5">
      <c r="A44" s="10" t="s">
        <v>32</v>
      </c>
      <c r="B44" s="18">
        <f>H16</f>
        <v>9391666.666666666</v>
      </c>
      <c r="C44" s="19">
        <f>1/POWER((1+$C$38),4)</f>
        <v>0.6298753334838075</v>
      </c>
      <c r="D44" s="20">
        <f t="shared" si="0"/>
        <v>5915579.173635425</v>
      </c>
      <c r="E44" s="28">
        <f>E43+B44</f>
        <v>-5508333.333333334</v>
      </c>
      <c r="F44" s="28">
        <f>F43+D44</f>
        <v>-17228166.270660564</v>
      </c>
    </row>
    <row r="45" spans="1:6" ht="16.5">
      <c r="A45" s="10" t="s">
        <v>33</v>
      </c>
      <c r="B45" s="18">
        <f>C33</f>
        <v>14958333.333333332</v>
      </c>
      <c r="C45" s="19">
        <f>1/POWER((1+$C$38),5)</f>
        <v>0.5611361545512761</v>
      </c>
      <c r="D45" s="20">
        <f t="shared" si="0"/>
        <v>8393661.645162838</v>
      </c>
      <c r="E45" s="28">
        <f>E44+B45</f>
        <v>9449999.999999998</v>
      </c>
      <c r="F45" s="28">
        <f>F44+D45</f>
        <v>-8834504.625497727</v>
      </c>
    </row>
    <row r="46" spans="1:4" ht="16.5">
      <c r="A46" s="21"/>
      <c r="B46" s="22"/>
      <c r="C46" s="23" t="s">
        <v>37</v>
      </c>
      <c r="D46" s="24">
        <f>SUM(D40:D45)</f>
        <v>-8834504.625497727</v>
      </c>
    </row>
    <row r="47" spans="3:4" ht="16.5">
      <c r="C47" s="25" t="s">
        <v>20</v>
      </c>
      <c r="D47" s="33">
        <v>0.0551</v>
      </c>
    </row>
    <row r="48" spans="3:4" ht="16.5">
      <c r="C48" s="25" t="s">
        <v>21</v>
      </c>
      <c r="D48" s="26">
        <f>SUM(D41:D45)/-D40</f>
        <v>0.8317237214190908</v>
      </c>
    </row>
    <row r="49" spans="3:5" ht="16.5">
      <c r="C49" s="27" t="s">
        <v>22</v>
      </c>
      <c r="D49" s="26">
        <f>4+(-E44/B45)</f>
        <v>4.3682451253481895</v>
      </c>
      <c r="E49" s="28"/>
    </row>
    <row r="50" spans="3:5" ht="16.5">
      <c r="C50" s="27" t="s">
        <v>38</v>
      </c>
      <c r="D50" s="42" t="s">
        <v>55</v>
      </c>
      <c r="E50" s="28"/>
    </row>
  </sheetData>
  <printOptions/>
  <pageMargins left="0.75" right="0.75" top="1" bottom="1" header="0.5" footer="0.5"/>
  <pageSetup horizontalDpi="360" verticalDpi="36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Ting</dc:creator>
  <cp:keywords/>
  <dc:description/>
  <cp:lastModifiedBy>Eric Ting</cp:lastModifiedBy>
  <cp:lastPrinted>2005-01-17T07:16:40Z</cp:lastPrinted>
  <dcterms:created xsi:type="dcterms:W3CDTF">2003-06-06T10:17:07Z</dcterms:created>
  <dcterms:modified xsi:type="dcterms:W3CDTF">2008-12-05T00:48:08Z</dcterms:modified>
  <cp:category/>
  <cp:version/>
  <cp:contentType/>
  <cp:contentStatus/>
</cp:coreProperties>
</file>